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gebauer/Documents/SAG/Projekt CFMO/CFMO.de/04. Tools/CFMO Free Downloads/"/>
    </mc:Choice>
  </mc:AlternateContent>
  <xr:revisionPtr revIDLastSave="0" documentId="13_ncr:1_{82002BFA-6DC1-1240-8B10-CF6112D71CB3}" xr6:coauthVersionLast="47" xr6:coauthVersionMax="47" xr10:uidLastSave="{00000000-0000-0000-0000-000000000000}"/>
  <bookViews>
    <workbookView xWindow="-37260" yWindow="5200" windowWidth="38340" windowHeight="21100" activeTab="1" xr2:uid="{6920B000-3070-0D45-A9FA-BA26B307B7CF}"/>
  </bookViews>
  <sheets>
    <sheet name="TEMPLATE DCF+RA" sheetId="27" r:id="rId1"/>
    <sheet name="CROX (Beispiel)" sheetId="26" r:id="rId2"/>
    <sheet name="Lists" sheetId="16" state="hidden" r:id="rId3"/>
  </sheets>
  <definedNames>
    <definedName name="L_DIV_START_YR" localSheetId="1">'CROX (Beispiel)'!$A$7:$A$17</definedName>
    <definedName name="L_DIV_START_YR" localSheetId="0">'TEMPLATE DCF+RA'!$A$7:$A$17</definedName>
    <definedName name="L_DIV_START_YR">#REF!</definedName>
    <definedName name="L_MONTH">Lists!$C$4:$C$15</definedName>
    <definedName name="L_VAL_METRIC">Lists!$B$4:$B$8</definedName>
    <definedName name="L_YEAR">Lists!$E$4:$E$15</definedName>
    <definedName name="_xlnm.Print_Area" localSheetId="1">'CROX (Beispiel)'!$C$1:$M$99</definedName>
    <definedName name="_xlnm.Print_Area" localSheetId="0">'TEMPLATE DCF+RA'!$C$1:$M$99</definedName>
  </definedNames>
  <calcPr calcId="191029" iterate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27" l="1"/>
  <c r="F91" i="27"/>
  <c r="F77" i="27"/>
  <c r="F77" i="26"/>
  <c r="D33" i="27"/>
  <c r="J2" i="27"/>
  <c r="F65" i="27"/>
  <c r="F66" i="27"/>
  <c r="F67" i="27"/>
  <c r="F68" i="27"/>
  <c r="F69" i="27"/>
  <c r="F70" i="27"/>
  <c r="F73" i="27"/>
  <c r="F74" i="27"/>
  <c r="F75" i="27"/>
  <c r="F76" i="27"/>
  <c r="F78" i="27"/>
  <c r="F81" i="27"/>
  <c r="F82" i="27"/>
  <c r="F83" i="27"/>
  <c r="F84" i="27"/>
  <c r="F85" i="27"/>
  <c r="F86" i="27"/>
  <c r="F90" i="27"/>
  <c r="F92" i="27"/>
  <c r="F93" i="27"/>
  <c r="F94" i="27"/>
  <c r="F96" i="27"/>
  <c r="H96" i="27"/>
  <c r="F40" i="27"/>
  <c r="A40" i="27"/>
  <c r="I40" i="27"/>
  <c r="F41" i="27"/>
  <c r="A41" i="27"/>
  <c r="I41" i="27"/>
  <c r="F42" i="27"/>
  <c r="A42" i="27"/>
  <c r="I42" i="27"/>
  <c r="F43" i="27"/>
  <c r="A43" i="27"/>
  <c r="I43" i="27"/>
  <c r="F44" i="27"/>
  <c r="A44" i="27"/>
  <c r="I44" i="27"/>
  <c r="F45" i="27"/>
  <c r="A45" i="27"/>
  <c r="I45" i="27"/>
  <c r="F46" i="27"/>
  <c r="A46" i="27"/>
  <c r="I46" i="27"/>
  <c r="F47" i="27"/>
  <c r="A47" i="27"/>
  <c r="I47" i="27"/>
  <c r="F48" i="27"/>
  <c r="A48" i="27"/>
  <c r="I48" i="27"/>
  <c r="F49" i="27"/>
  <c r="A49" i="27"/>
  <c r="I49" i="27"/>
  <c r="F50" i="27"/>
  <c r="A50" i="27"/>
  <c r="I50" i="27"/>
  <c r="I51" i="27"/>
  <c r="I52" i="27"/>
  <c r="I25" i="27"/>
  <c r="I53" i="27"/>
  <c r="I54" i="27"/>
  <c r="I55" i="27"/>
  <c r="D40" i="27"/>
  <c r="G40" i="27"/>
  <c r="D41" i="27"/>
  <c r="G41" i="27"/>
  <c r="D42" i="27"/>
  <c r="G42" i="27"/>
  <c r="D43" i="27"/>
  <c r="G43" i="27"/>
  <c r="D44" i="27"/>
  <c r="G44" i="27"/>
  <c r="D45" i="27"/>
  <c r="G45" i="27"/>
  <c r="D46" i="27"/>
  <c r="G46" i="27"/>
  <c r="D47" i="27"/>
  <c r="G47" i="27"/>
  <c r="D48" i="27"/>
  <c r="G48" i="27"/>
  <c r="D49" i="27"/>
  <c r="G49" i="27"/>
  <c r="D50" i="27"/>
  <c r="G50" i="27"/>
  <c r="G51" i="27"/>
  <c r="G52" i="27"/>
  <c r="G54" i="27"/>
  <c r="G55" i="27"/>
  <c r="E40" i="27"/>
  <c r="H40" i="27"/>
  <c r="E41" i="27"/>
  <c r="H41" i="27"/>
  <c r="E42" i="27"/>
  <c r="H42" i="27"/>
  <c r="E43" i="27"/>
  <c r="H43" i="27"/>
  <c r="E44" i="27"/>
  <c r="H44" i="27"/>
  <c r="E45" i="27"/>
  <c r="H45" i="27"/>
  <c r="E46" i="27"/>
  <c r="H46" i="27"/>
  <c r="E47" i="27"/>
  <c r="H47" i="27"/>
  <c r="E48" i="27"/>
  <c r="H48" i="27"/>
  <c r="E49" i="27"/>
  <c r="H49" i="27"/>
  <c r="E50" i="27"/>
  <c r="H50" i="27"/>
  <c r="H51" i="27"/>
  <c r="H52" i="27"/>
  <c r="H54" i="27"/>
  <c r="H55" i="27"/>
  <c r="H59" i="27"/>
  <c r="G25" i="27"/>
  <c r="G53" i="27"/>
  <c r="G56" i="27"/>
  <c r="H25" i="27"/>
  <c r="H53" i="27"/>
  <c r="H56" i="27"/>
  <c r="I56" i="27"/>
  <c r="D28" i="27"/>
  <c r="H58" i="27"/>
  <c r="I58" i="27"/>
  <c r="C40" i="27"/>
  <c r="C41" i="27"/>
  <c r="C42" i="27"/>
  <c r="C43" i="27"/>
  <c r="C44" i="27"/>
  <c r="C45" i="27"/>
  <c r="C46" i="27"/>
  <c r="C47" i="27"/>
  <c r="C48" i="27"/>
  <c r="C49" i="27"/>
  <c r="C50" i="27"/>
  <c r="D38" i="27"/>
  <c r="E12" i="27"/>
  <c r="E13" i="27"/>
  <c r="H20" i="27"/>
  <c r="D15" i="27"/>
  <c r="D20" i="27"/>
  <c r="A8" i="27"/>
  <c r="A9" i="27"/>
  <c r="A10" i="27"/>
  <c r="A11" i="27"/>
  <c r="A12" i="27"/>
  <c r="A14" i="27"/>
  <c r="A15" i="27"/>
  <c r="A16" i="27"/>
  <c r="A17" i="27"/>
  <c r="E15" i="27"/>
  <c r="F15" i="27"/>
  <c r="G15" i="27"/>
  <c r="H15" i="27"/>
  <c r="C2" i="27"/>
  <c r="H25" i="26"/>
  <c r="H53" i="26"/>
  <c r="I25" i="26"/>
  <c r="I53" i="26"/>
  <c r="G25" i="26"/>
  <c r="G53" i="26"/>
  <c r="E12" i="26"/>
  <c r="E13" i="26"/>
  <c r="H20" i="26"/>
  <c r="D12" i="26"/>
  <c r="F40" i="26"/>
  <c r="A40" i="26"/>
  <c r="I40" i="26"/>
  <c r="F41" i="26"/>
  <c r="A41" i="26"/>
  <c r="I41" i="26"/>
  <c r="F42" i="26"/>
  <c r="A42" i="26"/>
  <c r="I42" i="26"/>
  <c r="F43" i="26"/>
  <c r="A43" i="26"/>
  <c r="I43" i="26"/>
  <c r="F44" i="26"/>
  <c r="A44" i="26"/>
  <c r="I44" i="26"/>
  <c r="F45" i="26"/>
  <c r="A45" i="26"/>
  <c r="I45" i="26"/>
  <c r="F46" i="26"/>
  <c r="A46" i="26"/>
  <c r="I46" i="26"/>
  <c r="F47" i="26"/>
  <c r="A47" i="26"/>
  <c r="I47" i="26"/>
  <c r="F48" i="26"/>
  <c r="A48" i="26"/>
  <c r="I48" i="26"/>
  <c r="F49" i="26"/>
  <c r="A49" i="26"/>
  <c r="I49" i="26"/>
  <c r="F50" i="26"/>
  <c r="A50" i="26"/>
  <c r="I50" i="26"/>
  <c r="I51" i="26"/>
  <c r="I52" i="26"/>
  <c r="I54" i="26"/>
  <c r="I55" i="26"/>
  <c r="E40" i="26"/>
  <c r="H40" i="26"/>
  <c r="E41" i="26"/>
  <c r="H41" i="26"/>
  <c r="E42" i="26"/>
  <c r="H42" i="26"/>
  <c r="E43" i="26"/>
  <c r="H43" i="26"/>
  <c r="E44" i="26"/>
  <c r="H44" i="26"/>
  <c r="E45" i="26"/>
  <c r="H45" i="26"/>
  <c r="E46" i="26"/>
  <c r="H46" i="26"/>
  <c r="E47" i="26"/>
  <c r="H47" i="26"/>
  <c r="E48" i="26"/>
  <c r="H48" i="26"/>
  <c r="E49" i="26"/>
  <c r="H49" i="26"/>
  <c r="E50" i="26"/>
  <c r="H50" i="26"/>
  <c r="H51" i="26"/>
  <c r="H52" i="26"/>
  <c r="H54" i="26"/>
  <c r="H55" i="26"/>
  <c r="D40" i="26"/>
  <c r="G40" i="26"/>
  <c r="D41" i="26"/>
  <c r="G41" i="26"/>
  <c r="D42" i="26"/>
  <c r="G42" i="26"/>
  <c r="D43" i="26"/>
  <c r="G43" i="26"/>
  <c r="D44" i="26"/>
  <c r="G44" i="26"/>
  <c r="D45" i="26"/>
  <c r="G45" i="26"/>
  <c r="D46" i="26"/>
  <c r="G46" i="26"/>
  <c r="D47" i="26"/>
  <c r="G47" i="26"/>
  <c r="D48" i="26"/>
  <c r="G48" i="26"/>
  <c r="D49" i="26"/>
  <c r="G49" i="26"/>
  <c r="D50" i="26"/>
  <c r="G50" i="26"/>
  <c r="G51" i="26"/>
  <c r="G52" i="26"/>
  <c r="G54" i="26"/>
  <c r="G55" i="26"/>
  <c r="D15" i="26"/>
  <c r="D20" i="26"/>
  <c r="D38" i="26"/>
  <c r="J11" i="26"/>
  <c r="D76" i="26"/>
  <c r="D65" i="26"/>
  <c r="D66" i="26"/>
  <c r="F65" i="26"/>
  <c r="F66" i="26"/>
  <c r="F67" i="26"/>
  <c r="F68" i="26"/>
  <c r="F69" i="26"/>
  <c r="F70" i="26"/>
  <c r="F73" i="26"/>
  <c r="F74" i="26"/>
  <c r="F75" i="26"/>
  <c r="F76" i="26"/>
  <c r="F78" i="26"/>
  <c r="F81" i="26"/>
  <c r="F82" i="26"/>
  <c r="F83" i="26"/>
  <c r="F84" i="26"/>
  <c r="F85" i="26"/>
  <c r="F86" i="26"/>
  <c r="F89" i="26"/>
  <c r="F90" i="26"/>
  <c r="F91" i="26"/>
  <c r="F92" i="26"/>
  <c r="F93" i="26"/>
  <c r="F94" i="26"/>
  <c r="F96" i="26"/>
  <c r="H96" i="26"/>
  <c r="D33" i="26"/>
  <c r="C40" i="26"/>
  <c r="C41" i="26"/>
  <c r="C42" i="26"/>
  <c r="C43" i="26"/>
  <c r="C44" i="26"/>
  <c r="C45" i="26"/>
  <c r="C46" i="26"/>
  <c r="C47" i="26"/>
  <c r="C48" i="26"/>
  <c r="C49" i="26"/>
  <c r="H59" i="26"/>
  <c r="G56" i="26"/>
  <c r="H56" i="26"/>
  <c r="I56" i="26"/>
  <c r="D28" i="26"/>
  <c r="H58" i="26"/>
  <c r="I58" i="26"/>
  <c r="C50" i="26"/>
  <c r="A8" i="26"/>
  <c r="A9" i="26"/>
  <c r="A10" i="26"/>
  <c r="A11" i="26"/>
  <c r="A12" i="26"/>
  <c r="A14" i="26"/>
  <c r="A15" i="26"/>
  <c r="A16" i="26"/>
  <c r="A17" i="26"/>
  <c r="E15" i="26"/>
  <c r="F15" i="26"/>
  <c r="G15" i="26"/>
  <c r="H15" i="26"/>
  <c r="J10" i="26"/>
  <c r="C2" i="26"/>
  <c r="H4" i="16"/>
  <c r="H5" i="16"/>
  <c r="E5" i="16"/>
  <c r="E6" i="16"/>
  <c r="E7" i="16"/>
  <c r="E8" i="16"/>
  <c r="E9" i="16"/>
  <c r="E10" i="16"/>
  <c r="E11" i="16"/>
  <c r="E12" i="16"/>
  <c r="E13" i="16"/>
  <c r="E14" i="16"/>
  <c r="E15" i="16"/>
</calcChain>
</file>

<file path=xl/sharedStrings.xml><?xml version="1.0" encoding="utf-8"?>
<sst xmlns="http://schemas.openxmlformats.org/spreadsheetml/2006/main" count="339" uniqueCount="160">
  <si>
    <t>Gross Margin</t>
  </si>
  <si>
    <t>Last Update</t>
  </si>
  <si>
    <t>Year</t>
  </si>
  <si>
    <t>Industry</t>
  </si>
  <si>
    <t>General</t>
  </si>
  <si>
    <t>Quick Ratio</t>
  </si>
  <si>
    <t>Current Ratio</t>
  </si>
  <si>
    <t>USD</t>
  </si>
  <si>
    <t>EBITDA</t>
  </si>
  <si>
    <t>FCF</t>
  </si>
  <si>
    <t>Profitability</t>
  </si>
  <si>
    <t>Valuation Metric</t>
  </si>
  <si>
    <t>Dividends</t>
  </si>
  <si>
    <t>Currency</t>
  </si>
  <si>
    <t>Base scenario</t>
  </si>
  <si>
    <t>High scenario</t>
  </si>
  <si>
    <t>Low scenario</t>
  </si>
  <si>
    <t>Next 5 Yrs</t>
  </si>
  <si>
    <t>Div_Years</t>
  </si>
  <si>
    <t>None</t>
  </si>
  <si>
    <t>(per year, in %)</t>
  </si>
  <si>
    <t>Base</t>
  </si>
  <si>
    <t>Low</t>
  </si>
  <si>
    <t>High</t>
  </si>
  <si>
    <t>Sales</t>
  </si>
  <si>
    <t>Earnings</t>
  </si>
  <si>
    <t>Market Capitalization</t>
  </si>
  <si>
    <t>Current Stock Price</t>
  </si>
  <si>
    <t>Probability of Scenario</t>
  </si>
  <si>
    <t>%</t>
  </si>
  <si>
    <t>Expected ROI</t>
  </si>
  <si>
    <t>Over- / Undervalued (%)</t>
  </si>
  <si>
    <t>Max Stock Buy Price</t>
  </si>
  <si>
    <t>RATING</t>
  </si>
  <si>
    <t>Current Month</t>
  </si>
  <si>
    <t>Current Year</t>
  </si>
  <si>
    <t>Prior Year Value</t>
  </si>
  <si>
    <t>Month</t>
  </si>
  <si>
    <t>PV Factor</t>
  </si>
  <si>
    <t>Div %</t>
  </si>
  <si>
    <t>Weighted Avg Buy Price</t>
  </si>
  <si>
    <t>BUY</t>
  </si>
  <si>
    <t>HOLD</t>
  </si>
  <si>
    <t>SELL</t>
  </si>
  <si>
    <t>UNDERWEIGHT</t>
  </si>
  <si>
    <t>below</t>
  </si>
  <si>
    <t>Mkt Cap vs Instrisic Value</t>
  </si>
  <si>
    <t>above</t>
  </si>
  <si>
    <t>OPEN</t>
  </si>
  <si>
    <t>OVERWEIGHT</t>
  </si>
  <si>
    <t>= (Current Assets - Inventories - Prepaids) / Current Liabilities</t>
  </si>
  <si>
    <t>Definition</t>
  </si>
  <si>
    <t>= Current Assets / Current Liabilities</t>
  </si>
  <si>
    <t>Score</t>
  </si>
  <si>
    <t>Debt to Equity Ratio</t>
  </si>
  <si>
    <t>Good if…</t>
  </si>
  <si>
    <t>&gt; 1.0</t>
  </si>
  <si>
    <t>&lt; 0.4</t>
  </si>
  <si>
    <t>Financial Strength</t>
  </si>
  <si>
    <t>Debt Coverage</t>
  </si>
  <si>
    <t>Interest Coverage</t>
  </si>
  <si>
    <t>&gt; 40%</t>
  </si>
  <si>
    <t>Profit Margin</t>
  </si>
  <si>
    <t>&gt; 10% p.a.</t>
  </si>
  <si>
    <t>UP</t>
  </si>
  <si>
    <t>= Net Income / Sales</t>
  </si>
  <si>
    <t>= Gross Profit / Sales</t>
  </si>
  <si>
    <t>Flat high or Up</t>
  </si>
  <si>
    <t>= Net Income CAGR of past 5 Years (N/A if not available or negative earnings)</t>
  </si>
  <si>
    <t>/5</t>
  </si>
  <si>
    <t>Industry / Competition</t>
  </si>
  <si>
    <t>= CY Profit Margin % vs. PY: UP or DOWN by at least 1ppt, else FLAT</t>
  </si>
  <si>
    <t>Expected Industry Growth</t>
  </si>
  <si>
    <t>&gt; 5%</t>
  </si>
  <si>
    <t>Competitive Moat</t>
  </si>
  <si>
    <t>Competitive Position</t>
  </si>
  <si>
    <t>Management / Others</t>
  </si>
  <si>
    <t>&gt;= 3 Yrs</t>
  </si>
  <si>
    <t>CEO Ownership</t>
  </si>
  <si>
    <t>Management/Board Tenure</t>
  </si>
  <si>
    <t>TOTAL SCORE</t>
  </si>
  <si>
    <t>/20</t>
  </si>
  <si>
    <t>Profit Margin vs PY</t>
  </si>
  <si>
    <t>Top 3 or Leader</t>
  </si>
  <si>
    <t>Strong</t>
  </si>
  <si>
    <t>Economic/Political Risks</t>
  </si>
  <si>
    <t>Regulatory/Legal Risks</t>
  </si>
  <si>
    <t>Medium / Low</t>
  </si>
  <si>
    <t>LOW</t>
  </si>
  <si>
    <t>MODERATE</t>
  </si>
  <si>
    <t>= USP, Capability, Patent, Brand, High Barrier to Entry, etc. can be strong moats</t>
  </si>
  <si>
    <t>= Is the company market leader or in the Top 3?</t>
  </si>
  <si>
    <t>TOP3</t>
  </si>
  <si>
    <t>Net Insider Buy/Sell (6M)</t>
  </si>
  <si>
    <t>Net CEO/CFO Buy/Sell (12M)</t>
  </si>
  <si>
    <t>Buy/Balanced</t>
  </si>
  <si>
    <t>= What stake does the CEO own of the company? Is he founder?</t>
  </si>
  <si>
    <t>= Are there specific political or economic risks e.g. in key countries of operations?</t>
  </si>
  <si>
    <t>= Are there specific regulatory or legal risks the company is (currently) exposed to?</t>
  </si>
  <si>
    <t>= How fast is the industry expected to grow in the coming 3-5 years?</t>
  </si>
  <si>
    <t>&gt; 15%</t>
  </si>
  <si>
    <t>= EBIT / Interest</t>
  </si>
  <si>
    <t>= Operating Cashflow / Debt</t>
  </si>
  <si>
    <t>&gt; 0.2</t>
  </si>
  <si>
    <t>&gt; 3.0</t>
  </si>
  <si>
    <t>&gt;0.1%/Founder</t>
  </si>
  <si>
    <t>&gt;0.1%</t>
  </si>
  <si>
    <t>NET SELL</t>
  </si>
  <si>
    <t>MEDIUM</t>
  </si>
  <si>
    <t>= Did CEO or CFO buy or sell in the past 12 mths? (Balanced if none or similar)</t>
  </si>
  <si>
    <t>= Was there more selling or buying in the past 6 mths? (Balanced if none or similar)</t>
  </si>
  <si>
    <t>= What is the average tenure of the mgnt team and board? (experience level)</t>
  </si>
  <si>
    <t>Company Name</t>
  </si>
  <si>
    <t>Company Ticker</t>
  </si>
  <si>
    <t>Diese Analyse von Cashflow mit Optionen ist keine Finanzberatung noch Anlageempfehlung. Mehr Infos unter cashflowmitoptionen.de/disclaimer.</t>
  </si>
  <si>
    <t>Headquartered in</t>
  </si>
  <si>
    <t>Short Interest (% of float)</t>
  </si>
  <si>
    <t>Investment Notes</t>
  </si>
  <si>
    <t>CROX</t>
  </si>
  <si>
    <t>Crocs, Inc</t>
  </si>
  <si>
    <t>Footwear - Consumer Discr.</t>
  </si>
  <si>
    <t>Broomfield, Colorado, USA</t>
  </si>
  <si>
    <t>6.9%</t>
  </si>
  <si>
    <t>©2021-2025 Cashflow mit Optionen. Alle Rechte vorbehalten</t>
  </si>
  <si>
    <t>Quelle: Seeking Alpha</t>
  </si>
  <si>
    <t>= Net Debt / Equity</t>
  </si>
  <si>
    <t>FCF in</t>
  </si>
  <si>
    <t>billion</t>
  </si>
  <si>
    <t>FCF Growth Scenarios</t>
  </si>
  <si>
    <t>Present Value (DCF)</t>
  </si>
  <si>
    <t>Terminal Growth Rate</t>
  </si>
  <si>
    <t>ENTERPRISE VALUE</t>
  </si>
  <si>
    <t>Net Debt</t>
  </si>
  <si>
    <t>Other Value Adjustments</t>
  </si>
  <si>
    <t>EQUITY VALUE</t>
  </si>
  <si>
    <t>Net Debt/(Cash) Position</t>
  </si>
  <si>
    <t>Analyst Price Target</t>
  </si>
  <si>
    <t>Upside(+) / Downside(-)</t>
  </si>
  <si>
    <t>Valuation Adjustments</t>
  </si>
  <si>
    <t>Minority Interest</t>
  </si>
  <si>
    <t>Hidden Assets/(Liabilities)</t>
  </si>
  <si>
    <t>Other Adjustments</t>
  </si>
  <si>
    <t>TOTAL</t>
  </si>
  <si>
    <t>Other Information</t>
  </si>
  <si>
    <t>Wall St Analyst Rating</t>
  </si>
  <si>
    <t>Comments</t>
  </si>
  <si>
    <r>
      <t xml:space="preserve">2019-2024 FCF CAGR von 77%, 2024 vs 2023 nur noch 7%, </t>
    </r>
    <r>
      <rPr>
        <b/>
        <sz val="11"/>
        <color rgb="FF0070C0"/>
        <rFont val="Arial"/>
        <family val="2"/>
      </rPr>
      <t>2025E = einstelliger Rückgang. 
Profitabilität extrem hoch (best in industry) durch niedrige Herstellungskosten</t>
    </r>
    <r>
      <rPr>
        <sz val="11"/>
        <color rgb="FF0070C0"/>
        <rFont val="Arial"/>
        <family val="2"/>
      </rPr>
      <t xml:space="preserve">, könnte aber zumindest kurzfristig durch </t>
    </r>
    <r>
      <rPr>
        <b/>
        <sz val="11"/>
        <color rgb="FF0070C0"/>
        <rFont val="Arial"/>
        <family val="2"/>
      </rPr>
      <t>Zölle</t>
    </r>
    <r>
      <rPr>
        <sz val="11"/>
        <color rgb="FF0070C0"/>
        <rFont val="Arial"/>
        <family val="2"/>
      </rPr>
      <t xml:space="preserve"> belastet werden. HeyDude Akquisition hat bislang underperformed, Brand ist immer noch nicht zu Wachstum zurückgekehrt. Crocs-Wachstum relativ stabil. Zollunsicherheiten führten zum Rückzug der Guidance im Q1 Earnings Call. Bewertung mit 6x FCF aktuell sehr niedrig. Bilanz stabil mit Nettoschulden &lt; 2x FCF. Kurfristige Risiken: Zölle &amp; Rezession, langfristige Risiken: Modetrends. 
</t>
    </r>
    <r>
      <rPr>
        <b/>
        <u/>
        <sz val="11"/>
        <color rgb="FF0070C0"/>
        <rFont val="Arial"/>
        <family val="2"/>
      </rPr>
      <t>Insg. überwiegt unter $100 langfristig das Upside-Potenzial.</t>
    </r>
  </si>
  <si>
    <t>Hoher Impact Zölle + kurzfr. Rezession</t>
  </si>
  <si>
    <t>Moderater Impact Zölle, milde Rezession</t>
  </si>
  <si>
    <t>Niedriger Impact Zölle, keine Rezession</t>
  </si>
  <si>
    <t>DCF Parameters</t>
  </si>
  <si>
    <t>DCF Valuation (Simplified Model)</t>
  </si>
  <si>
    <t>Risk Assessment</t>
  </si>
  <si>
    <t>ROIC</t>
  </si>
  <si>
    <t>Earnings Growth (5Y)</t>
  </si>
  <si>
    <t>&gt; 10%</t>
  </si>
  <si>
    <t>= Return on Invested Capital (ROIC = NOPAT/Invested Capital)</t>
  </si>
  <si>
    <t>Governance Red Flags</t>
  </si>
  <si>
    <t>No</t>
  </si>
  <si>
    <t>= Red flags include a Board "owned" by the CEO, scandals involving executives,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</si>
</sst>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70C0"/>
      <name val="Arial"/>
      <family val="2"/>
    </font>
    <font>
      <u/>
      <sz val="11"/>
      <color theme="10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9"/>
      <color theme="1"/>
      <name val="Arial"/>
      <family val="2"/>
    </font>
    <font>
      <b/>
      <sz val="11"/>
      <color rgb="FF0070C0"/>
      <name val="Arial"/>
      <family val="2"/>
    </font>
    <font>
      <i/>
      <sz val="11"/>
      <color theme="1"/>
      <name val="Arial"/>
      <family val="2"/>
    </font>
    <font>
      <b/>
      <u/>
      <sz val="11"/>
      <color rgb="FF0070C0"/>
      <name val="Arial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/>
      <top style="hair">
        <color rgb="FF0070C0"/>
      </top>
      <bottom style="hair">
        <color theme="1"/>
      </bottom>
      <diagonal/>
    </border>
    <border>
      <left/>
      <right/>
      <top style="hair">
        <color rgb="FF0070C0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1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9" fontId="0" fillId="0" borderId="0" xfId="0" applyNumberFormat="1"/>
    <xf numFmtId="9" fontId="0" fillId="0" borderId="0" xfId="0" applyNumberFormat="1" applyAlignment="1">
      <alignment horizontal="center"/>
    </xf>
    <xf numFmtId="0" fontId="6" fillId="0" borderId="0" xfId="2" applyFont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/>
    <xf numFmtId="0" fontId="3" fillId="0" borderId="0" xfId="2" applyFont="1"/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right"/>
    </xf>
    <xf numFmtId="0" fontId="8" fillId="0" borderId="0" xfId="3" applyFont="1"/>
    <xf numFmtId="0" fontId="6" fillId="0" borderId="1" xfId="2" applyFont="1" applyBorder="1"/>
    <xf numFmtId="0" fontId="3" fillId="0" borderId="1" xfId="2" applyFont="1" applyBorder="1"/>
    <xf numFmtId="0" fontId="3" fillId="0" borderId="0" xfId="2" applyFont="1" applyAlignment="1">
      <alignment horizontal="right"/>
    </xf>
    <xf numFmtId="0" fontId="3" fillId="0" borderId="1" xfId="2" applyFont="1" applyBorder="1" applyAlignment="1">
      <alignment horizontal="right"/>
    </xf>
    <xf numFmtId="0" fontId="6" fillId="0" borderId="0" xfId="2" applyFont="1" applyAlignment="1">
      <alignment horizontal="center"/>
    </xf>
    <xf numFmtId="0" fontId="6" fillId="0" borderId="6" xfId="2" applyFont="1" applyBorder="1"/>
    <xf numFmtId="2" fontId="6" fillId="0" borderId="3" xfId="2" applyNumberFormat="1" applyFont="1" applyBorder="1" applyAlignment="1">
      <alignment horizontal="right"/>
    </xf>
    <xf numFmtId="2" fontId="6" fillId="0" borderId="2" xfId="2" applyNumberFormat="1" applyFont="1" applyBorder="1" applyAlignment="1">
      <alignment horizontal="right"/>
    </xf>
    <xf numFmtId="2" fontId="6" fillId="0" borderId="4" xfId="2" applyNumberFormat="1" applyFont="1" applyBorder="1" applyAlignment="1">
      <alignment horizontal="right"/>
    </xf>
    <xf numFmtId="2" fontId="6" fillId="0" borderId="7" xfId="2" applyNumberFormat="1" applyFont="1" applyBorder="1" applyAlignment="1">
      <alignment horizontal="right"/>
    </xf>
    <xf numFmtId="2" fontId="6" fillId="0" borderId="0" xfId="2" applyNumberFormat="1" applyFont="1" applyAlignment="1">
      <alignment horizontal="right"/>
    </xf>
    <xf numFmtId="2" fontId="6" fillId="0" borderId="12" xfId="2" applyNumberFormat="1" applyFont="1" applyBorder="1" applyAlignment="1">
      <alignment horizontal="right"/>
    </xf>
    <xf numFmtId="2" fontId="6" fillId="0" borderId="5" xfId="2" applyNumberFormat="1" applyFont="1" applyBorder="1" applyAlignment="1">
      <alignment horizontal="right"/>
    </xf>
    <xf numFmtId="2" fontId="6" fillId="0" borderId="6" xfId="2" applyNumberFormat="1" applyFont="1" applyBorder="1"/>
    <xf numFmtId="2" fontId="3" fillId="0" borderId="5" xfId="2" applyNumberFormat="1" applyFont="1" applyBorder="1" applyAlignment="1">
      <alignment horizontal="right"/>
    </xf>
    <xf numFmtId="2" fontId="3" fillId="0" borderId="6" xfId="2" applyNumberFormat="1" applyFont="1" applyBorder="1"/>
    <xf numFmtId="3" fontId="6" fillId="0" borderId="0" xfId="2" applyNumberFormat="1" applyFont="1"/>
    <xf numFmtId="9" fontId="6" fillId="0" borderId="0" xfId="1" applyFont="1"/>
    <xf numFmtId="2" fontId="3" fillId="0" borderId="0" xfId="2" applyNumberFormat="1" applyFont="1"/>
    <xf numFmtId="0" fontId="9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/>
    <xf numFmtId="9" fontId="7" fillId="0" borderId="19" xfId="1" applyFont="1" applyBorder="1" applyAlignment="1">
      <alignment horizontal="right"/>
    </xf>
    <xf numFmtId="0" fontId="7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/>
    </xf>
    <xf numFmtId="2" fontId="7" fillId="0" borderId="19" xfId="2" applyNumberFormat="1" applyFont="1" applyBorder="1" applyAlignment="1">
      <alignment horizontal="center"/>
    </xf>
    <xf numFmtId="4" fontId="7" fillId="0" borderId="21" xfId="2" applyNumberFormat="1" applyFont="1" applyBorder="1" applyAlignment="1">
      <alignment horizontal="center"/>
    </xf>
    <xf numFmtId="9" fontId="7" fillId="0" borderId="19" xfId="1" applyFont="1" applyBorder="1" applyAlignment="1">
      <alignment horizontal="center"/>
    </xf>
    <xf numFmtId="2" fontId="6" fillId="0" borderId="1" xfId="2" applyNumberFormat="1" applyFont="1" applyBorder="1"/>
    <xf numFmtId="0" fontId="3" fillId="2" borderId="5" xfId="2" applyFont="1" applyFill="1" applyBorder="1" applyAlignment="1">
      <alignment horizontal="right"/>
    </xf>
    <xf numFmtId="0" fontId="3" fillId="2" borderId="1" xfId="2" applyFont="1" applyFill="1" applyBorder="1" applyAlignment="1">
      <alignment horizontal="right"/>
    </xf>
    <xf numFmtId="0" fontId="3" fillId="2" borderId="6" xfId="2" applyFont="1" applyFill="1" applyBorder="1" applyAlignment="1">
      <alignment horizontal="right"/>
    </xf>
    <xf numFmtId="0" fontId="3" fillId="2" borderId="8" xfId="2" applyFont="1" applyFill="1" applyBorder="1" applyAlignment="1">
      <alignment horizontal="left"/>
    </xf>
    <xf numFmtId="0" fontId="3" fillId="2" borderId="14" xfId="2" applyFont="1" applyFill="1" applyBorder="1" applyAlignment="1">
      <alignment horizontal="left"/>
    </xf>
    <xf numFmtId="0" fontId="3" fillId="2" borderId="9" xfId="2" applyFont="1" applyFill="1" applyBorder="1"/>
    <xf numFmtId="0" fontId="0" fillId="0" borderId="1" xfId="0" applyBorder="1" applyAlignment="1">
      <alignment horizontal="center"/>
    </xf>
    <xf numFmtId="4" fontId="6" fillId="0" borderId="0" xfId="1" applyNumberFormat="1" applyFont="1" applyAlignment="1">
      <alignment horizontal="center"/>
    </xf>
    <xf numFmtId="4" fontId="6" fillId="0" borderId="0" xfId="2" applyNumberFormat="1" applyFont="1" applyAlignment="1">
      <alignment horizontal="center"/>
    </xf>
    <xf numFmtId="2" fontId="3" fillId="0" borderId="1" xfId="2" applyNumberFormat="1" applyFont="1" applyBorder="1"/>
    <xf numFmtId="165" fontId="11" fillId="0" borderId="1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6" fillId="0" borderId="0" xfId="2" quotePrefix="1" applyFont="1"/>
    <xf numFmtId="0" fontId="12" fillId="0" borderId="0" xfId="2" applyFont="1"/>
    <xf numFmtId="14" fontId="7" fillId="0" borderId="0" xfId="2" applyNumberFormat="1" applyFont="1"/>
    <xf numFmtId="0" fontId="14" fillId="0" borderId="0" xfId="2" quotePrefix="1" applyFont="1"/>
    <xf numFmtId="0" fontId="13" fillId="0" borderId="13" xfId="2" applyFont="1" applyBorder="1"/>
    <xf numFmtId="0" fontId="6" fillId="0" borderId="13" xfId="2" applyFont="1" applyBorder="1"/>
    <xf numFmtId="0" fontId="6" fillId="0" borderId="1" xfId="2" applyFont="1" applyBorder="1" applyAlignment="1">
      <alignment horizontal="center"/>
    </xf>
    <xf numFmtId="0" fontId="6" fillId="0" borderId="0" xfId="2" quotePrefix="1" applyFont="1" applyAlignment="1">
      <alignment horizontal="center"/>
    </xf>
    <xf numFmtId="3" fontId="7" fillId="0" borderId="19" xfId="2" applyNumberFormat="1" applyFont="1" applyBorder="1" applyAlignment="1">
      <alignment horizontal="center"/>
    </xf>
    <xf numFmtId="4" fontId="7" fillId="0" borderId="19" xfId="2" applyNumberFormat="1" applyFont="1" applyBorder="1" applyAlignment="1">
      <alignment horizontal="center"/>
    </xf>
    <xf numFmtId="2" fontId="7" fillId="0" borderId="18" xfId="2" applyNumberFormat="1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15" fillId="0" borderId="0" xfId="2" applyFont="1"/>
    <xf numFmtId="0" fontId="3" fillId="0" borderId="10" xfId="2" applyFont="1" applyBorder="1"/>
    <xf numFmtId="0" fontId="3" fillId="0" borderId="17" xfId="2" applyFont="1" applyBorder="1"/>
    <xf numFmtId="0" fontId="3" fillId="0" borderId="11" xfId="2" applyFont="1" applyBorder="1" applyAlignment="1">
      <alignment horizontal="center"/>
    </xf>
    <xf numFmtId="9" fontId="7" fillId="0" borderId="18" xfId="1" applyFont="1" applyBorder="1" applyAlignment="1">
      <alignment horizontal="right"/>
    </xf>
    <xf numFmtId="9" fontId="7" fillId="0" borderId="18" xfId="1" applyFont="1" applyBorder="1"/>
    <xf numFmtId="0" fontId="7" fillId="0" borderId="20" xfId="2" applyFont="1" applyBorder="1" applyAlignment="1">
      <alignment horizontal="center"/>
    </xf>
    <xf numFmtId="9" fontId="6" fillId="0" borderId="21" xfId="1" applyFont="1" applyBorder="1" applyAlignment="1">
      <alignment horizontal="center"/>
    </xf>
    <xf numFmtId="4" fontId="7" fillId="0" borderId="20" xfId="2" applyNumberFormat="1" applyFont="1" applyBorder="1" applyAlignment="1">
      <alignment horizontal="center"/>
    </xf>
    <xf numFmtId="0" fontId="6" fillId="0" borderId="0" xfId="2" applyFont="1" applyAlignment="1">
      <alignment vertical="center"/>
    </xf>
    <xf numFmtId="164" fontId="7" fillId="0" borderId="19" xfId="1" applyNumberFormat="1" applyFont="1" applyBorder="1" applyAlignment="1">
      <alignment horizontal="center"/>
    </xf>
    <xf numFmtId="9" fontId="7" fillId="0" borderId="19" xfId="1" applyFont="1" applyFill="1" applyBorder="1" applyAlignment="1">
      <alignment horizontal="center"/>
    </xf>
    <xf numFmtId="164" fontId="17" fillId="0" borderId="0" xfId="1" applyNumberFormat="1" applyFont="1" applyAlignment="1">
      <alignment horizontal="right"/>
    </xf>
    <xf numFmtId="0" fontId="17" fillId="0" borderId="0" xfId="2" applyFont="1"/>
    <xf numFmtId="2" fontId="3" fillId="0" borderId="1" xfId="2" applyNumberFormat="1" applyFont="1" applyBorder="1" applyAlignment="1">
      <alignment horizontal="right"/>
    </xf>
    <xf numFmtId="164" fontId="17" fillId="0" borderId="1" xfId="1" applyNumberFormat="1" applyFont="1" applyBorder="1" applyAlignment="1">
      <alignment horizontal="right"/>
    </xf>
    <xf numFmtId="0" fontId="6" fillId="0" borderId="0" xfId="2" applyFont="1" applyAlignment="1">
      <alignment horizontal="left"/>
    </xf>
    <xf numFmtId="164" fontId="7" fillId="0" borderId="18" xfId="1" applyNumberFormat="1" applyFont="1" applyBorder="1" applyAlignment="1">
      <alignment horizontal="center"/>
    </xf>
    <xf numFmtId="9" fontId="7" fillId="0" borderId="18" xfId="1" applyFont="1" applyBorder="1" applyAlignment="1">
      <alignment horizontal="center"/>
    </xf>
    <xf numFmtId="0" fontId="7" fillId="0" borderId="20" xfId="2" applyFont="1" applyBorder="1"/>
    <xf numFmtId="0" fontId="7" fillId="0" borderId="19" xfId="2" applyFont="1" applyBorder="1"/>
    <xf numFmtId="0" fontId="7" fillId="0" borderId="22" xfId="2" applyFont="1" applyBorder="1"/>
    <xf numFmtId="0" fontId="5" fillId="0" borderId="2" xfId="2" applyFont="1" applyBorder="1" applyAlignment="1">
      <alignment horizontal="left"/>
    </xf>
    <xf numFmtId="0" fontId="7" fillId="0" borderId="18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6" fillId="0" borderId="1" xfId="2" applyFont="1" applyBorder="1" applyAlignment="1">
      <alignment horizontal="center"/>
    </xf>
    <xf numFmtId="0" fontId="19" fillId="0" borderId="18" xfId="2" applyFont="1" applyBorder="1" applyAlignment="1">
      <alignment horizontal="left"/>
    </xf>
    <xf numFmtId="0" fontId="19" fillId="0" borderId="19" xfId="2" applyFont="1" applyBorder="1" applyAlignment="1">
      <alignment horizontal="left"/>
    </xf>
    <xf numFmtId="0" fontId="19" fillId="0" borderId="22" xfId="2" applyFont="1" applyBorder="1" applyAlignment="1">
      <alignment horizontal="left"/>
    </xf>
    <xf numFmtId="0" fontId="6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5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0" fontId="7" fillId="0" borderId="12" xfId="2" applyFont="1" applyBorder="1" applyAlignment="1">
      <alignment horizontal="left" vertical="top" wrapText="1"/>
    </xf>
    <xf numFmtId="0" fontId="7" fillId="0" borderId="5" xfId="2" applyFont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 wrapText="1"/>
    </xf>
    <xf numFmtId="0" fontId="7" fillId="0" borderId="6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left"/>
    </xf>
    <xf numFmtId="0" fontId="3" fillId="2" borderId="3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6" fillId="0" borderId="0" xfId="2" applyFont="1" applyAlignment="1">
      <alignment horizontal="center"/>
    </xf>
  </cellXfs>
  <cellStyles count="5">
    <cellStyle name="Link 2" xfId="3" xr:uid="{F9352A45-4D00-1F4B-9B61-B4272D442FEB}"/>
    <cellStyle name="Normal" xfId="0" builtinId="0"/>
    <cellStyle name="Percent" xfId="1" builtinId="5"/>
    <cellStyle name="Prozent 2" xfId="4" xr:uid="{C3A719A9-6054-E847-91BE-4E51BC59FD0C}"/>
    <cellStyle name="Standard 2" xfId="2" xr:uid="{1A7103DC-DB09-9D46-942A-01BF5B54EA3A}"/>
  </cellStyles>
  <dxfs count="5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fgColor auto="1"/>
          <bgColor theme="7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fgColor auto="1"/>
          <bgColor theme="9" tint="0.39994506668294322"/>
        </patternFill>
      </fill>
    </dxf>
    <dxf>
      <font>
        <b/>
        <i val="0"/>
        <color theme="1"/>
      </font>
      <fill>
        <patternFill>
          <fgColor auto="1"/>
          <bgColor theme="7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fgColor auto="1"/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fgColor auto="1"/>
          <bgColor theme="7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fgColor auto="1"/>
          <bgColor theme="9" tint="0.39994506668294322"/>
        </patternFill>
      </fill>
    </dxf>
    <dxf>
      <font>
        <b/>
        <i val="0"/>
        <color theme="1"/>
      </font>
      <fill>
        <patternFill>
          <fgColor auto="1"/>
          <bgColor theme="7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fgColor auto="1"/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941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539750</xdr:colOff>
      <xdr:row>0</xdr:row>
      <xdr:rowOff>95250</xdr:rowOff>
    </xdr:from>
    <xdr:to>
      <xdr:col>12</xdr:col>
      <xdr:colOff>317266</xdr:colOff>
      <xdr:row>2</xdr:row>
      <xdr:rowOff>99548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7C17518-D70B-7A4C-B78F-1C2F7C1E4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9150" y="95250"/>
          <a:ext cx="1707916" cy="4106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539750</xdr:colOff>
      <xdr:row>0</xdr:row>
      <xdr:rowOff>95250</xdr:rowOff>
    </xdr:from>
    <xdr:to>
      <xdr:col>12</xdr:col>
      <xdr:colOff>317266</xdr:colOff>
      <xdr:row>2</xdr:row>
      <xdr:rowOff>99548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4C75BD8-8142-1B44-8D25-05AD1A0F1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9150" y="95250"/>
          <a:ext cx="1707916" cy="410698"/>
        </a:xfrm>
        <a:prstGeom prst="rect">
          <a:avLst/>
        </a:prstGeom>
      </xdr:spPr>
    </xdr:pic>
    <xdr:clientData/>
  </xdr:twoCellAnchor>
  <xdr:twoCellAnchor editAs="oneCell">
    <xdr:from>
      <xdr:col>3</xdr:col>
      <xdr:colOff>402167</xdr:colOff>
      <xdr:row>0</xdr:row>
      <xdr:rowOff>74084</xdr:rowOff>
    </xdr:from>
    <xdr:to>
      <xdr:col>5</xdr:col>
      <xdr:colOff>422911</xdr:colOff>
      <xdr:row>2</xdr:row>
      <xdr:rowOff>95250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BFB341A-56DB-2BEE-55FB-71720922F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7" y="74084"/>
          <a:ext cx="2010411" cy="433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105834</xdr:colOff>
      <xdr:row>5</xdr:row>
      <xdr:rowOff>116416</xdr:rowOff>
    </xdr:from>
    <xdr:to>
      <xdr:col>21</xdr:col>
      <xdr:colOff>797983</xdr:colOff>
      <xdr:row>28</xdr:row>
      <xdr:rowOff>84266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85EC6C2-4B41-C76D-A172-DBD161762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67167" y="963083"/>
          <a:ext cx="6841066" cy="4127100"/>
        </a:xfrm>
        <a:prstGeom prst="rect">
          <a:avLst/>
        </a:prstGeom>
      </xdr:spPr>
    </xdr:pic>
    <xdr:clientData/>
  </xdr:twoCellAnchor>
  <xdr:twoCellAnchor editAs="oneCell">
    <xdr:from>
      <xdr:col>14</xdr:col>
      <xdr:colOff>105834</xdr:colOff>
      <xdr:row>28</xdr:row>
      <xdr:rowOff>179917</xdr:rowOff>
    </xdr:from>
    <xdr:to>
      <xdr:col>21</xdr:col>
      <xdr:colOff>824266</xdr:colOff>
      <xdr:row>52</xdr:row>
      <xdr:rowOff>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0CE9C14-165D-737B-5B6E-E32EC12AA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67167" y="5291667"/>
          <a:ext cx="6867349" cy="4265084"/>
        </a:xfrm>
        <a:prstGeom prst="rect">
          <a:avLst/>
        </a:prstGeom>
      </xdr:spPr>
    </xdr:pic>
    <xdr:clientData/>
  </xdr:twoCellAnchor>
  <xdr:twoCellAnchor editAs="oneCell">
    <xdr:from>
      <xdr:col>14</xdr:col>
      <xdr:colOff>116417</xdr:colOff>
      <xdr:row>51</xdr:row>
      <xdr:rowOff>21168</xdr:rowOff>
    </xdr:from>
    <xdr:to>
      <xdr:col>21</xdr:col>
      <xdr:colOff>709083</xdr:colOff>
      <xdr:row>87</xdr:row>
      <xdr:rowOff>9078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84344CA-079E-7EC7-F4F3-480FBD40B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77750" y="9715501"/>
          <a:ext cx="6741583" cy="6464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A72F-43D4-0647-B230-C932B66C1C44}">
  <sheetPr>
    <tabColor theme="5"/>
    <pageSetUpPr fitToPage="1"/>
  </sheetPr>
  <dimension ref="A2:O99"/>
  <sheetViews>
    <sheetView showGridLines="0" topLeftCell="B60" zoomScale="120" zoomScaleNormal="120" workbookViewId="0">
      <selection activeCell="B79" sqref="A79:XFD79"/>
    </sheetView>
  </sheetViews>
  <sheetFormatPr baseColWidth="10" defaultColWidth="11.5" defaultRowHeight="14" x14ac:dyDescent="0.15"/>
  <cols>
    <col min="1" max="1" width="11.5" style="16" hidden="1" customWidth="1"/>
    <col min="2" max="2" width="4.33203125" style="7" customWidth="1"/>
    <col min="3" max="3" width="26.5" style="7" customWidth="1"/>
    <col min="4" max="4" width="12.6640625" style="7" customWidth="1"/>
    <col min="5" max="5" width="13.5" style="7" customWidth="1"/>
    <col min="6" max="12" width="12.6640625" style="7" customWidth="1"/>
    <col min="13" max="13" width="5.1640625" style="7" customWidth="1"/>
    <col min="14" max="14" width="11.6640625" style="7" customWidth="1"/>
    <col min="15" max="16384" width="11.5" style="7"/>
  </cols>
  <sheetData>
    <row r="2" spans="1:15" ht="18" x14ac:dyDescent="0.2">
      <c r="C2" s="54" t="str">
        <f>"Stock Analysis - "&amp;I7</f>
        <v xml:space="preserve">Stock Analysis - </v>
      </c>
      <c r="I2" s="7" t="s">
        <v>1</v>
      </c>
      <c r="J2" s="55">
        <f ca="1">TODAY()</f>
        <v>45812</v>
      </c>
    </row>
    <row r="4" spans="1:15" x14ac:dyDescent="0.15">
      <c r="C4" s="31" t="s">
        <v>150</v>
      </c>
      <c r="D4" s="32"/>
      <c r="E4" s="33"/>
      <c r="F4" s="33"/>
      <c r="G4" s="33"/>
      <c r="H4" s="33"/>
      <c r="I4" s="33"/>
      <c r="J4" s="33"/>
      <c r="K4" s="33"/>
      <c r="L4" s="33"/>
      <c r="M4" s="33"/>
      <c r="O4" s="8"/>
    </row>
    <row r="5" spans="1:15" x14ac:dyDescent="0.15">
      <c r="C5" s="8"/>
      <c r="D5" s="9"/>
    </row>
    <row r="6" spans="1:15" x14ac:dyDescent="0.15">
      <c r="A6" s="52" t="s">
        <v>18</v>
      </c>
      <c r="C6" s="13" t="s">
        <v>4</v>
      </c>
      <c r="D6" s="13"/>
      <c r="E6" s="13"/>
      <c r="F6" s="12"/>
      <c r="G6" s="12"/>
      <c r="H6" s="12"/>
      <c r="I6" s="12"/>
      <c r="J6" s="12"/>
    </row>
    <row r="7" spans="1:15" x14ac:dyDescent="0.15">
      <c r="A7" s="16" t="s">
        <v>19</v>
      </c>
      <c r="C7" s="5" t="s">
        <v>113</v>
      </c>
      <c r="D7" s="35"/>
      <c r="G7" s="7" t="s">
        <v>112</v>
      </c>
      <c r="I7" s="88"/>
      <c r="J7" s="88"/>
    </row>
    <row r="8" spans="1:15" x14ac:dyDescent="0.15">
      <c r="A8" s="16">
        <f>D11</f>
        <v>2025</v>
      </c>
      <c r="C8" s="5" t="s">
        <v>126</v>
      </c>
      <c r="D8" s="36"/>
      <c r="G8" s="7" t="s">
        <v>3</v>
      </c>
      <c r="I8" s="89"/>
      <c r="J8" s="89"/>
    </row>
    <row r="9" spans="1:15" x14ac:dyDescent="0.15">
      <c r="A9" s="16">
        <f>A8+1</f>
        <v>2026</v>
      </c>
      <c r="C9" s="5" t="s">
        <v>13</v>
      </c>
      <c r="D9" s="36"/>
      <c r="G9" s="74" t="s">
        <v>115</v>
      </c>
      <c r="I9" s="89"/>
      <c r="J9" s="89"/>
    </row>
    <row r="10" spans="1:15" x14ac:dyDescent="0.15">
      <c r="A10" s="16">
        <f>A9+1</f>
        <v>2027</v>
      </c>
      <c r="C10" s="5" t="s">
        <v>34</v>
      </c>
      <c r="D10" s="36"/>
      <c r="G10" s="7" t="s">
        <v>27</v>
      </c>
      <c r="I10" s="73"/>
    </row>
    <row r="11" spans="1:15" x14ac:dyDescent="0.15">
      <c r="A11" s="16">
        <f t="shared" ref="A11:A17" si="0">A10+1</f>
        <v>2028</v>
      </c>
      <c r="C11" s="5" t="s">
        <v>35</v>
      </c>
      <c r="D11" s="36">
        <v>2025</v>
      </c>
      <c r="G11" s="7" t="s">
        <v>26</v>
      </c>
      <c r="I11" s="38"/>
      <c r="L11" s="28"/>
    </row>
    <row r="12" spans="1:15" x14ac:dyDescent="0.15">
      <c r="A12" s="16">
        <f t="shared" si="0"/>
        <v>2029</v>
      </c>
      <c r="C12" s="5" t="s">
        <v>36</v>
      </c>
      <c r="D12" s="37"/>
      <c r="E12" s="7" t="str">
        <f>IF(OR($D$8="",$D$9=""),"","(in "&amp;$D$8&amp;" "&amp;$D$9&amp;")")</f>
        <v/>
      </c>
      <c r="G12" s="5" t="s">
        <v>30</v>
      </c>
      <c r="I12" s="39"/>
    </row>
    <row r="13" spans="1:15" x14ac:dyDescent="0.15">
      <c r="C13" s="5" t="s">
        <v>135</v>
      </c>
      <c r="D13" s="37"/>
      <c r="E13" s="7" t="str">
        <f>E12</f>
        <v/>
      </c>
    </row>
    <row r="14" spans="1:15" x14ac:dyDescent="0.15">
      <c r="A14" s="16">
        <f>A12+1</f>
        <v>2030</v>
      </c>
      <c r="C14" s="5"/>
      <c r="D14" s="9"/>
    </row>
    <row r="15" spans="1:15" x14ac:dyDescent="0.15">
      <c r="A15" s="16">
        <f t="shared" si="0"/>
        <v>2031</v>
      </c>
      <c r="C15" s="6" t="s">
        <v>128</v>
      </c>
      <c r="D15" s="10">
        <f>D11</f>
        <v>2025</v>
      </c>
      <c r="E15" s="10">
        <f>D15+1</f>
        <v>2026</v>
      </c>
      <c r="F15" s="10">
        <f>E15+1</f>
        <v>2027</v>
      </c>
      <c r="G15" s="10">
        <f>F15+1</f>
        <v>2028</v>
      </c>
      <c r="H15" s="10">
        <f>G15+1</f>
        <v>2029</v>
      </c>
      <c r="I15" s="10" t="s">
        <v>17</v>
      </c>
      <c r="J15" s="90" t="s">
        <v>145</v>
      </c>
      <c r="K15" s="90"/>
      <c r="L15" s="90"/>
    </row>
    <row r="16" spans="1:15" x14ac:dyDescent="0.15">
      <c r="A16" s="16">
        <f t="shared" si="0"/>
        <v>2032</v>
      </c>
      <c r="C16" s="5" t="s">
        <v>14</v>
      </c>
      <c r="D16" s="69"/>
      <c r="E16" s="69"/>
      <c r="F16" s="69"/>
      <c r="G16" s="70"/>
      <c r="H16" s="70"/>
      <c r="I16" s="70"/>
      <c r="J16" s="91"/>
      <c r="K16" s="91"/>
      <c r="L16" s="91"/>
    </row>
    <row r="17" spans="1:12" x14ac:dyDescent="0.15">
      <c r="A17" s="16">
        <f t="shared" si="0"/>
        <v>2033</v>
      </c>
      <c r="C17" s="5" t="s">
        <v>15</v>
      </c>
      <c r="D17" s="34"/>
      <c r="E17" s="34"/>
      <c r="F17" s="34"/>
      <c r="G17" s="34"/>
      <c r="H17" s="34"/>
      <c r="I17" s="34"/>
      <c r="J17" s="92"/>
      <c r="K17" s="92"/>
      <c r="L17" s="92"/>
    </row>
    <row r="18" spans="1:12" x14ac:dyDescent="0.15">
      <c r="C18" s="5" t="s">
        <v>16</v>
      </c>
      <c r="D18" s="34"/>
      <c r="E18" s="34"/>
      <c r="F18" s="34"/>
      <c r="G18" s="34"/>
      <c r="H18" s="34"/>
      <c r="I18" s="34"/>
      <c r="J18" s="92"/>
      <c r="K18" s="92"/>
      <c r="L18" s="92"/>
    </row>
    <row r="19" spans="1:12" x14ac:dyDescent="0.15">
      <c r="C19" s="5"/>
      <c r="D19" s="9"/>
    </row>
    <row r="20" spans="1:12" x14ac:dyDescent="0.15">
      <c r="C20" s="6" t="s">
        <v>130</v>
      </c>
      <c r="D20" s="59" t="str">
        <f>"from "&amp;D15+9</f>
        <v>from 2034</v>
      </c>
      <c r="F20" s="8" t="s">
        <v>138</v>
      </c>
      <c r="G20" s="8"/>
      <c r="H20" s="16" t="str">
        <f>E13</f>
        <v/>
      </c>
      <c r="I20" s="8"/>
    </row>
    <row r="21" spans="1:12" ht="14" customHeight="1" x14ac:dyDescent="0.15">
      <c r="C21" s="5" t="s">
        <v>14</v>
      </c>
      <c r="D21" s="82"/>
      <c r="F21" s="12"/>
      <c r="G21" s="10" t="s">
        <v>21</v>
      </c>
      <c r="H21" s="10" t="s">
        <v>23</v>
      </c>
      <c r="I21" s="10" t="s">
        <v>22</v>
      </c>
      <c r="J21" s="90" t="s">
        <v>145</v>
      </c>
      <c r="K21" s="90"/>
      <c r="L21" s="90"/>
    </row>
    <row r="22" spans="1:12" ht="14" customHeight="1" x14ac:dyDescent="0.15">
      <c r="C22" s="5" t="s">
        <v>15</v>
      </c>
      <c r="D22" s="75"/>
      <c r="F22" s="9" t="s">
        <v>139</v>
      </c>
      <c r="G22" s="84"/>
      <c r="H22" s="84"/>
      <c r="I22" s="84"/>
      <c r="J22" s="91"/>
      <c r="K22" s="91"/>
      <c r="L22" s="91"/>
    </row>
    <row r="23" spans="1:12" ht="14" customHeight="1" x14ac:dyDescent="0.15">
      <c r="C23" s="5" t="s">
        <v>16</v>
      </c>
      <c r="D23" s="75"/>
      <c r="F23" s="9" t="s">
        <v>140</v>
      </c>
      <c r="G23" s="85"/>
      <c r="H23" s="85"/>
      <c r="I23" s="85"/>
      <c r="J23" s="92"/>
      <c r="K23" s="92"/>
      <c r="L23" s="92"/>
    </row>
    <row r="24" spans="1:12" ht="14" customHeight="1" x14ac:dyDescent="0.15">
      <c r="C24" s="8"/>
      <c r="D24" s="16"/>
      <c r="F24" s="10" t="s">
        <v>141</v>
      </c>
      <c r="G24" s="86"/>
      <c r="H24" s="86"/>
      <c r="I24" s="86"/>
      <c r="J24" s="93"/>
      <c r="K24" s="93"/>
      <c r="L24" s="93"/>
    </row>
    <row r="25" spans="1:12" x14ac:dyDescent="0.15">
      <c r="C25" s="13" t="s">
        <v>28</v>
      </c>
      <c r="D25" s="59" t="s">
        <v>29</v>
      </c>
      <c r="F25" s="14" t="s">
        <v>142</v>
      </c>
      <c r="G25" s="8">
        <f>SUM(G22:G24)</f>
        <v>0</v>
      </c>
      <c r="H25" s="8">
        <f>SUM(H22:H24)</f>
        <v>0</v>
      </c>
      <c r="I25" s="8">
        <f>SUM(I22:I24)</f>
        <v>0</v>
      </c>
      <c r="J25" s="87"/>
      <c r="K25" s="87"/>
      <c r="L25" s="87"/>
    </row>
    <row r="26" spans="1:12" x14ac:dyDescent="0.15">
      <c r="C26" s="7" t="s">
        <v>14</v>
      </c>
      <c r="D26" s="83"/>
    </row>
    <row r="27" spans="1:12" x14ac:dyDescent="0.15">
      <c r="C27" s="7" t="s">
        <v>15</v>
      </c>
      <c r="D27" s="39"/>
      <c r="F27" s="8" t="s">
        <v>117</v>
      </c>
    </row>
    <row r="28" spans="1:12" ht="16" customHeight="1" x14ac:dyDescent="0.15">
      <c r="C28" s="7" t="s">
        <v>16</v>
      </c>
      <c r="D28" s="72">
        <f>100%-(D26+D27)</f>
        <v>1</v>
      </c>
      <c r="F28" s="98"/>
      <c r="G28" s="99"/>
      <c r="H28" s="99"/>
      <c r="I28" s="99"/>
      <c r="J28" s="99"/>
      <c r="K28" s="99"/>
      <c r="L28" s="100"/>
    </row>
    <row r="29" spans="1:12" ht="16" customHeight="1" x14ac:dyDescent="0.15">
      <c r="F29" s="101"/>
      <c r="G29" s="102"/>
      <c r="H29" s="102"/>
      <c r="I29" s="102"/>
      <c r="J29" s="102"/>
      <c r="K29" s="102"/>
      <c r="L29" s="103"/>
    </row>
    <row r="30" spans="1:12" ht="16" customHeight="1" x14ac:dyDescent="0.15">
      <c r="C30" s="107" t="s">
        <v>143</v>
      </c>
      <c r="D30" s="107"/>
      <c r="F30" s="101"/>
      <c r="G30" s="102"/>
      <c r="H30" s="102"/>
      <c r="I30" s="102"/>
      <c r="J30" s="102"/>
      <c r="K30" s="102"/>
      <c r="L30" s="103"/>
    </row>
    <row r="31" spans="1:12" ht="16" customHeight="1" x14ac:dyDescent="0.15">
      <c r="C31" s="81" t="s">
        <v>144</v>
      </c>
      <c r="D31" s="71"/>
      <c r="F31" s="101"/>
      <c r="G31" s="102"/>
      <c r="H31" s="102"/>
      <c r="I31" s="102"/>
      <c r="J31" s="102"/>
      <c r="K31" s="102"/>
      <c r="L31" s="103"/>
    </row>
    <row r="32" spans="1:12" ht="16" customHeight="1" x14ac:dyDescent="0.15">
      <c r="C32" s="81" t="s">
        <v>136</v>
      </c>
      <c r="D32" s="36"/>
      <c r="F32" s="101"/>
      <c r="G32" s="102"/>
      <c r="H32" s="102"/>
      <c r="I32" s="102"/>
      <c r="J32" s="102"/>
      <c r="K32" s="102"/>
      <c r="L32" s="103"/>
    </row>
    <row r="33" spans="1:13" ht="16" customHeight="1" x14ac:dyDescent="0.15">
      <c r="C33" s="81" t="s">
        <v>137</v>
      </c>
      <c r="D33" s="72" t="str">
        <f>IFERROR(D32/I10-1,"No input")</f>
        <v>No input</v>
      </c>
      <c r="F33" s="101"/>
      <c r="G33" s="102"/>
      <c r="H33" s="102"/>
      <c r="I33" s="102"/>
      <c r="J33" s="102"/>
      <c r="K33" s="102"/>
      <c r="L33" s="103"/>
    </row>
    <row r="34" spans="1:13" ht="16" customHeight="1" x14ac:dyDescent="0.15">
      <c r="C34" s="81" t="s">
        <v>116</v>
      </c>
      <c r="D34" s="75"/>
      <c r="F34" s="104"/>
      <c r="G34" s="105"/>
      <c r="H34" s="105"/>
      <c r="I34" s="105"/>
      <c r="J34" s="105"/>
      <c r="K34" s="105"/>
      <c r="L34" s="106"/>
    </row>
    <row r="36" spans="1:13" x14ac:dyDescent="0.15">
      <c r="C36" s="31" t="s">
        <v>151</v>
      </c>
      <c r="D36" s="32"/>
      <c r="E36" s="33"/>
      <c r="F36" s="33"/>
      <c r="G36" s="33"/>
      <c r="H36" s="33"/>
      <c r="I36" s="33"/>
      <c r="J36" s="33"/>
      <c r="K36" s="33"/>
      <c r="L36" s="33"/>
      <c r="M36" s="33"/>
    </row>
    <row r="37" spans="1:13" x14ac:dyDescent="0.15">
      <c r="C37" s="8"/>
      <c r="D37" s="9"/>
    </row>
    <row r="38" spans="1:13" x14ac:dyDescent="0.15">
      <c r="C38" s="8"/>
      <c r="D38" s="108" t="str">
        <f>"FCF, in "&amp;D8&amp;" "&amp;D9</f>
        <v xml:space="preserve">FCF, in  </v>
      </c>
      <c r="E38" s="109"/>
      <c r="F38" s="110"/>
      <c r="G38" s="108" t="s">
        <v>129</v>
      </c>
      <c r="H38" s="109"/>
      <c r="I38" s="110"/>
    </row>
    <row r="39" spans="1:13" x14ac:dyDescent="0.15">
      <c r="A39" s="52" t="s">
        <v>38</v>
      </c>
      <c r="C39" s="17"/>
      <c r="D39" s="41" t="s">
        <v>21</v>
      </c>
      <c r="E39" s="42" t="s">
        <v>23</v>
      </c>
      <c r="F39" s="43" t="s">
        <v>22</v>
      </c>
      <c r="G39" s="41" t="s">
        <v>21</v>
      </c>
      <c r="H39" s="42" t="s">
        <v>23</v>
      </c>
      <c r="I39" s="43" t="s">
        <v>22</v>
      </c>
    </row>
    <row r="40" spans="1:13" x14ac:dyDescent="0.15">
      <c r="A40" s="48">
        <f>(12-D10+1)/12</f>
        <v>1.0833333333333333</v>
      </c>
      <c r="C40" s="44">
        <f>D11</f>
        <v>2025</v>
      </c>
      <c r="D40" s="18">
        <f>$D$12*(1+D16)</f>
        <v>0</v>
      </c>
      <c r="E40" s="19">
        <f>$D$12*(1+D17)</f>
        <v>0</v>
      </c>
      <c r="F40" s="20">
        <f>$D$12*(1+D18)</f>
        <v>0</v>
      </c>
      <c r="G40" s="18">
        <f>D40/(1+$I$12)^$A40</f>
        <v>0</v>
      </c>
      <c r="H40" s="19">
        <f t="shared" ref="H40:I49" si="1">E40/(1+$I$12)^$A40</f>
        <v>0</v>
      </c>
      <c r="I40" s="20">
        <f t="shared" si="1"/>
        <v>0</v>
      </c>
    </row>
    <row r="41" spans="1:13" x14ac:dyDescent="0.15">
      <c r="A41" s="49">
        <f>A40+1</f>
        <v>2.083333333333333</v>
      </c>
      <c r="C41" s="45">
        <f>C40+1</f>
        <v>2026</v>
      </c>
      <c r="D41" s="21">
        <f>D40*(1+E16)</f>
        <v>0</v>
      </c>
      <c r="E41" s="22">
        <f>E40*(1+E17)</f>
        <v>0</v>
      </c>
      <c r="F41" s="23">
        <f>F40*(1+E18)</f>
        <v>0</v>
      </c>
      <c r="G41" s="21">
        <f t="shared" ref="G41:G49" si="2">D41/(1+$I$12)^$A41</f>
        <v>0</v>
      </c>
      <c r="H41" s="22">
        <f t="shared" si="1"/>
        <v>0</v>
      </c>
      <c r="I41" s="23">
        <f t="shared" si="1"/>
        <v>0</v>
      </c>
    </row>
    <row r="42" spans="1:13" x14ac:dyDescent="0.15">
      <c r="A42" s="49">
        <f t="shared" ref="A42:A49" si="3">A41+1</f>
        <v>3.083333333333333</v>
      </c>
      <c r="C42" s="45">
        <f t="shared" ref="C42:C48" si="4">C41+1</f>
        <v>2027</v>
      </c>
      <c r="D42" s="21">
        <f>D41*(1+F16)</f>
        <v>0</v>
      </c>
      <c r="E42" s="22">
        <f>E41*(1+F17)</f>
        <v>0</v>
      </c>
      <c r="F42" s="23">
        <f>F41*(1+F18)</f>
        <v>0</v>
      </c>
      <c r="G42" s="21">
        <f t="shared" si="2"/>
        <v>0</v>
      </c>
      <c r="H42" s="22">
        <f t="shared" si="1"/>
        <v>0</v>
      </c>
      <c r="I42" s="23">
        <f t="shared" si="1"/>
        <v>0</v>
      </c>
    </row>
    <row r="43" spans="1:13" x14ac:dyDescent="0.15">
      <c r="A43" s="49">
        <f t="shared" si="3"/>
        <v>4.083333333333333</v>
      </c>
      <c r="C43" s="45">
        <f t="shared" si="4"/>
        <v>2028</v>
      </c>
      <c r="D43" s="21">
        <f>D42*(1+G16)</f>
        <v>0</v>
      </c>
      <c r="E43" s="22">
        <f>E42*(1+G17)</f>
        <v>0</v>
      </c>
      <c r="F43" s="23">
        <f>F42*(1+G18)</f>
        <v>0</v>
      </c>
      <c r="G43" s="21">
        <f t="shared" si="2"/>
        <v>0</v>
      </c>
      <c r="H43" s="22">
        <f t="shared" si="1"/>
        <v>0</v>
      </c>
      <c r="I43" s="23">
        <f t="shared" si="1"/>
        <v>0</v>
      </c>
    </row>
    <row r="44" spans="1:13" x14ac:dyDescent="0.15">
      <c r="A44" s="49">
        <f t="shared" si="3"/>
        <v>5.083333333333333</v>
      </c>
      <c r="C44" s="45">
        <f t="shared" si="4"/>
        <v>2029</v>
      </c>
      <c r="D44" s="21">
        <f>D43*(1+H16)</f>
        <v>0</v>
      </c>
      <c r="E44" s="22">
        <f>E43*(1+H17)</f>
        <v>0</v>
      </c>
      <c r="F44" s="23">
        <f>F43*(1+H18)</f>
        <v>0</v>
      </c>
      <c r="G44" s="21">
        <f t="shared" si="2"/>
        <v>0</v>
      </c>
      <c r="H44" s="22">
        <f t="shared" si="1"/>
        <v>0</v>
      </c>
      <c r="I44" s="23">
        <f t="shared" si="1"/>
        <v>0</v>
      </c>
    </row>
    <row r="45" spans="1:13" x14ac:dyDescent="0.15">
      <c r="A45" s="49">
        <f t="shared" si="3"/>
        <v>6.083333333333333</v>
      </c>
      <c r="C45" s="45">
        <f t="shared" si="4"/>
        <v>2030</v>
      </c>
      <c r="D45" s="21">
        <f>D44*(1+$I$16)</f>
        <v>0</v>
      </c>
      <c r="E45" s="22">
        <f>E44*(1+$I$17)</f>
        <v>0</v>
      </c>
      <c r="F45" s="23">
        <f>F44*(1+$I$18)</f>
        <v>0</v>
      </c>
      <c r="G45" s="21">
        <f t="shared" si="2"/>
        <v>0</v>
      </c>
      <c r="H45" s="22">
        <f t="shared" si="1"/>
        <v>0</v>
      </c>
      <c r="I45" s="23">
        <f t="shared" si="1"/>
        <v>0</v>
      </c>
      <c r="K45" s="111"/>
      <c r="L45" s="111"/>
    </row>
    <row r="46" spans="1:13" x14ac:dyDescent="0.15">
      <c r="A46" s="49">
        <f t="shared" si="3"/>
        <v>7.083333333333333</v>
      </c>
      <c r="C46" s="45">
        <f t="shared" si="4"/>
        <v>2031</v>
      </c>
      <c r="D46" s="21">
        <f>D45*(1+$I$16)</f>
        <v>0</v>
      </c>
      <c r="E46" s="22">
        <f>E45*(1+$I$17)</f>
        <v>0</v>
      </c>
      <c r="F46" s="23">
        <f>F45*(1+$I$18)</f>
        <v>0</v>
      </c>
      <c r="G46" s="21">
        <f t="shared" si="2"/>
        <v>0</v>
      </c>
      <c r="H46" s="22">
        <f t="shared" si="1"/>
        <v>0</v>
      </c>
      <c r="I46" s="23">
        <f t="shared" si="1"/>
        <v>0</v>
      </c>
    </row>
    <row r="47" spans="1:13" x14ac:dyDescent="0.15">
      <c r="A47" s="49">
        <f t="shared" si="3"/>
        <v>8.0833333333333321</v>
      </c>
      <c r="C47" s="45">
        <f t="shared" si="4"/>
        <v>2032</v>
      </c>
      <c r="D47" s="21">
        <f>D46*(1+$I$16)</f>
        <v>0</v>
      </c>
      <c r="E47" s="22">
        <f>E46*(1+$I$17)</f>
        <v>0</v>
      </c>
      <c r="F47" s="23">
        <f>F46*(1+$I$18)</f>
        <v>0</v>
      </c>
      <c r="G47" s="21">
        <f t="shared" si="2"/>
        <v>0</v>
      </c>
      <c r="H47" s="22">
        <f t="shared" si="1"/>
        <v>0</v>
      </c>
      <c r="I47" s="23">
        <f t="shared" si="1"/>
        <v>0</v>
      </c>
    </row>
    <row r="48" spans="1:13" x14ac:dyDescent="0.15">
      <c r="A48" s="49">
        <f t="shared" si="3"/>
        <v>9.0833333333333321</v>
      </c>
      <c r="C48" s="45">
        <f t="shared" si="4"/>
        <v>2033</v>
      </c>
      <c r="D48" s="21">
        <f>D47*(1+$I$16)</f>
        <v>0</v>
      </c>
      <c r="E48" s="22">
        <f>E47*(1+$I$17)</f>
        <v>0</v>
      </c>
      <c r="F48" s="23">
        <f>F47*(1+$I$18)</f>
        <v>0</v>
      </c>
      <c r="G48" s="21">
        <f t="shared" si="2"/>
        <v>0</v>
      </c>
      <c r="H48" s="22">
        <f t="shared" si="1"/>
        <v>0</v>
      </c>
      <c r="I48" s="23">
        <f t="shared" si="1"/>
        <v>0</v>
      </c>
    </row>
    <row r="49" spans="1:13" x14ac:dyDescent="0.15">
      <c r="A49" s="49">
        <f t="shared" si="3"/>
        <v>10.083333333333332</v>
      </c>
      <c r="C49" s="45">
        <f>C48+1</f>
        <v>2034</v>
      </c>
      <c r="D49" s="21">
        <f>D48*(1+$I$16)</f>
        <v>0</v>
      </c>
      <c r="E49" s="22">
        <f>E48*(1+$I$17)</f>
        <v>0</v>
      </c>
      <c r="F49" s="23">
        <f>F48*(1+$I$18)</f>
        <v>0</v>
      </c>
      <c r="G49" s="21">
        <f t="shared" si="2"/>
        <v>0</v>
      </c>
      <c r="H49" s="22">
        <f t="shared" si="1"/>
        <v>0</v>
      </c>
      <c r="I49" s="23">
        <f t="shared" si="1"/>
        <v>0</v>
      </c>
    </row>
    <row r="50" spans="1:13" x14ac:dyDescent="0.15">
      <c r="A50" s="49">
        <f>A49</f>
        <v>10.083333333333332</v>
      </c>
      <c r="C50" s="46" t="str">
        <f>C49&amp;" Terminal Value"</f>
        <v>2034 Terminal Value</v>
      </c>
      <c r="D50" s="26" t="e">
        <f>(D49*(1+$D$21))/($I$12-$D$21)</f>
        <v>#DIV/0!</v>
      </c>
      <c r="E50" s="79" t="e">
        <f>(E49*(1+$D$22))/($I$12-$D$22)</f>
        <v>#DIV/0!</v>
      </c>
      <c r="F50" s="27" t="e">
        <f>(F49*(1+$D$23))/($I$12-$D$23)</f>
        <v>#DIV/0!</v>
      </c>
      <c r="G50" s="24" t="e">
        <f>D50/(1+$I$12)^$A50</f>
        <v>#DIV/0!</v>
      </c>
      <c r="H50" s="40" t="e">
        <f>E50/(1+$I$12)^$A50</f>
        <v>#DIV/0!</v>
      </c>
      <c r="I50" s="25" t="e">
        <f>F50/(1+$I$12)^$A50</f>
        <v>#DIV/0!</v>
      </c>
    </row>
    <row r="51" spans="1:13" x14ac:dyDescent="0.15">
      <c r="C51" s="78"/>
      <c r="D51" s="77"/>
      <c r="E51" s="77"/>
      <c r="F51" s="14" t="s">
        <v>131</v>
      </c>
      <c r="G51" s="30" t="e">
        <f>SUM(G40:G50)</f>
        <v>#DIV/0!</v>
      </c>
      <c r="H51" s="30" t="e">
        <f>SUM(H40:H50)</f>
        <v>#DIV/0!</v>
      </c>
      <c r="I51" s="30" t="e">
        <f>SUM(I40:I50)</f>
        <v>#DIV/0!</v>
      </c>
    </row>
    <row r="52" spans="1:13" x14ac:dyDescent="0.15">
      <c r="C52" s="78"/>
      <c r="D52" s="77"/>
      <c r="E52" s="77"/>
      <c r="F52" s="14" t="s">
        <v>132</v>
      </c>
      <c r="G52" s="30">
        <f>-$D$13</f>
        <v>0</v>
      </c>
      <c r="H52" s="30">
        <f>-$D$13</f>
        <v>0</v>
      </c>
      <c r="I52" s="30">
        <f>-$D$13</f>
        <v>0</v>
      </c>
    </row>
    <row r="53" spans="1:13" x14ac:dyDescent="0.15">
      <c r="C53" s="78"/>
      <c r="D53" s="77"/>
      <c r="E53" s="80"/>
      <c r="F53" s="15" t="s">
        <v>133</v>
      </c>
      <c r="G53" s="50">
        <f>G25</f>
        <v>0</v>
      </c>
      <c r="H53" s="50">
        <f t="shared" ref="H53:I53" si="5">H25</f>
        <v>0</v>
      </c>
      <c r="I53" s="50">
        <f t="shared" si="5"/>
        <v>0</v>
      </c>
      <c r="J53" s="112"/>
      <c r="K53" s="112"/>
      <c r="L53" s="112"/>
    </row>
    <row r="54" spans="1:13" x14ac:dyDescent="0.15">
      <c r="C54" s="78"/>
      <c r="D54" s="77"/>
      <c r="E54" s="77"/>
      <c r="F54" s="14" t="s">
        <v>134</v>
      </c>
      <c r="G54" s="30" t="e">
        <f>SUM(G51:G53)</f>
        <v>#DIV/0!</v>
      </c>
      <c r="H54" s="30" t="e">
        <f t="shared" ref="H54:I54" si="6">SUM(H51:H53)</f>
        <v>#DIV/0!</v>
      </c>
      <c r="I54" s="30" t="e">
        <f t="shared" si="6"/>
        <v>#DIV/0!</v>
      </c>
    </row>
    <row r="55" spans="1:13" x14ac:dyDescent="0.15">
      <c r="D55" s="9"/>
      <c r="F55" s="9" t="s">
        <v>31</v>
      </c>
      <c r="G55" s="29" t="str">
        <f>IFERROR($I$11/G54-1,"")</f>
        <v/>
      </c>
      <c r="H55" s="29" t="str">
        <f t="shared" ref="H55:I55" si="7">IFERROR($I$11/H54-1,"")</f>
        <v/>
      </c>
      <c r="I55" s="29" t="str">
        <f t="shared" si="7"/>
        <v/>
      </c>
    </row>
    <row r="56" spans="1:13" x14ac:dyDescent="0.15">
      <c r="C56" s="8"/>
      <c r="D56" s="9"/>
      <c r="F56" s="14" t="s">
        <v>32</v>
      </c>
      <c r="G56" s="30" t="str">
        <f>IFERROR($I$10/(1+G55),"")</f>
        <v/>
      </c>
      <c r="H56" s="30" t="str">
        <f>IFERROR($I$10/(1+H55),"")</f>
        <v/>
      </c>
      <c r="I56" s="30" t="str">
        <f>IFERROR($I$10/(1+I55),"")</f>
        <v/>
      </c>
    </row>
    <row r="57" spans="1:13" x14ac:dyDescent="0.15">
      <c r="C57" s="8"/>
      <c r="D57" s="9"/>
    </row>
    <row r="58" spans="1:13" x14ac:dyDescent="0.15">
      <c r="C58" s="8"/>
      <c r="D58" s="9"/>
      <c r="G58" s="14" t="s">
        <v>40</v>
      </c>
      <c r="H58" s="50" t="e">
        <f>G56*D26+H56*D27+I56*D28</f>
        <v>#VALUE!</v>
      </c>
      <c r="I58" s="51" t="str">
        <f>IFERROR(ROUND(I10/H58,1)&amp;"x","")</f>
        <v/>
      </c>
    </row>
    <row r="59" spans="1:13" x14ac:dyDescent="0.15">
      <c r="C59" s="8"/>
      <c r="D59" s="9"/>
      <c r="G59" s="14" t="s">
        <v>33</v>
      </c>
      <c r="H59" s="94" t="str">
        <f>IF(I55&lt;=0,"STRONG BUY",IF(G55&lt;=0,"BUY",IF(H55&gt;0,"SELL","HOLD")))</f>
        <v>SELL</v>
      </c>
      <c r="I59" s="95"/>
    </row>
    <row r="60" spans="1:13" x14ac:dyDescent="0.15">
      <c r="C60" s="8"/>
      <c r="D60" s="9"/>
      <c r="I60" s="9"/>
    </row>
    <row r="62" spans="1:13" x14ac:dyDescent="0.15">
      <c r="C62" s="31" t="s">
        <v>152</v>
      </c>
      <c r="D62" s="32"/>
      <c r="E62" s="33"/>
      <c r="F62" s="33"/>
      <c r="G62" s="33"/>
      <c r="H62" s="33"/>
      <c r="I62" s="33"/>
      <c r="J62" s="33"/>
      <c r="K62" s="33"/>
      <c r="L62" s="33"/>
      <c r="M62" s="33"/>
    </row>
    <row r="63" spans="1:13" x14ac:dyDescent="0.15">
      <c r="C63" s="11"/>
    </row>
    <row r="64" spans="1:13" x14ac:dyDescent="0.15">
      <c r="C64" s="13" t="s">
        <v>58</v>
      </c>
      <c r="D64" s="15"/>
      <c r="E64" s="59" t="s">
        <v>55</v>
      </c>
      <c r="F64" s="59" t="s">
        <v>53</v>
      </c>
      <c r="H64" s="57" t="s">
        <v>51</v>
      </c>
      <c r="I64" s="58"/>
      <c r="J64" s="58"/>
      <c r="K64" s="58"/>
      <c r="L64" s="58"/>
    </row>
    <row r="65" spans="3:12" x14ac:dyDescent="0.15">
      <c r="C65" s="7" t="s">
        <v>5</v>
      </c>
      <c r="D65" s="63"/>
      <c r="E65" s="60" t="s">
        <v>56</v>
      </c>
      <c r="F65" s="16">
        <f>IF(D65="",0,IF(D65&gt;=1,1,0))</f>
        <v>0</v>
      </c>
      <c r="H65" s="56" t="s">
        <v>50</v>
      </c>
    </row>
    <row r="66" spans="3:12" x14ac:dyDescent="0.15">
      <c r="C66" s="7" t="s">
        <v>6</v>
      </c>
      <c r="D66" s="37"/>
      <c r="E66" s="60" t="s">
        <v>56</v>
      </c>
      <c r="F66" s="16">
        <f>IF(D66="",0,IF(D66&gt;=1,1,0))</f>
        <v>0</v>
      </c>
      <c r="H66" s="56" t="s">
        <v>52</v>
      </c>
    </row>
    <row r="67" spans="3:12" x14ac:dyDescent="0.15">
      <c r="C67" s="7" t="s">
        <v>54</v>
      </c>
      <c r="D67" s="62"/>
      <c r="E67" s="60" t="s">
        <v>57</v>
      </c>
      <c r="F67" s="16">
        <f>IF(D67="",0,IF(D67&lt;=0.4,1,0))</f>
        <v>0</v>
      </c>
      <c r="H67" s="56" t="s">
        <v>125</v>
      </c>
    </row>
    <row r="68" spans="3:12" x14ac:dyDescent="0.15">
      <c r="C68" s="7" t="s">
        <v>59</v>
      </c>
      <c r="D68" s="62"/>
      <c r="E68" s="60" t="s">
        <v>103</v>
      </c>
      <c r="F68" s="16">
        <f>IF(D68="",0,IF(D68&gt;=0.2,1,0))</f>
        <v>0</v>
      </c>
      <c r="H68" s="56" t="s">
        <v>102</v>
      </c>
    </row>
    <row r="69" spans="3:12" x14ac:dyDescent="0.15">
      <c r="C69" s="7" t="s">
        <v>60</v>
      </c>
      <c r="D69" s="62"/>
      <c r="E69" s="60" t="s">
        <v>104</v>
      </c>
      <c r="F69" s="16">
        <f>IF(D69="",0,IF(D69&gt;=3,1,0))</f>
        <v>0</v>
      </c>
      <c r="H69" s="56" t="s">
        <v>101</v>
      </c>
    </row>
    <row r="70" spans="3:12" x14ac:dyDescent="0.15">
      <c r="F70" s="64">
        <f>SUM(F65:F69)</f>
        <v>0</v>
      </c>
      <c r="G70" s="53" t="s">
        <v>69</v>
      </c>
    </row>
    <row r="72" spans="3:12" x14ac:dyDescent="0.15">
      <c r="C72" s="13" t="s">
        <v>10</v>
      </c>
      <c r="D72" s="15"/>
      <c r="E72" s="59" t="s">
        <v>55</v>
      </c>
      <c r="F72" s="59" t="s">
        <v>53</v>
      </c>
      <c r="H72" s="57" t="s">
        <v>51</v>
      </c>
      <c r="I72" s="58"/>
      <c r="J72" s="58"/>
      <c r="K72" s="58"/>
      <c r="L72" s="58"/>
    </row>
    <row r="73" spans="3:12" x14ac:dyDescent="0.15">
      <c r="C73" s="7" t="s">
        <v>0</v>
      </c>
      <c r="D73" s="39"/>
      <c r="E73" s="60" t="s">
        <v>61</v>
      </c>
      <c r="F73" s="16">
        <f>IF(D73="",0,IF(D73&gt;0.4,1,0))</f>
        <v>0</v>
      </c>
      <c r="H73" s="56" t="s">
        <v>66</v>
      </c>
    </row>
    <row r="74" spans="3:12" x14ac:dyDescent="0.15">
      <c r="C74" s="7" t="s">
        <v>62</v>
      </c>
      <c r="D74" s="39"/>
      <c r="E74" s="60" t="s">
        <v>100</v>
      </c>
      <c r="F74" s="16">
        <f>IF(D74="",0,IF(D74&gt;0.15,1,0))</f>
        <v>0</v>
      </c>
      <c r="H74" s="56" t="s">
        <v>65</v>
      </c>
    </row>
    <row r="75" spans="3:12" x14ac:dyDescent="0.15">
      <c r="C75" s="7" t="s">
        <v>82</v>
      </c>
      <c r="D75" s="37"/>
      <c r="E75" s="16" t="s">
        <v>67</v>
      </c>
      <c r="F75" s="16">
        <f>IF(AND(F74=1,D75="FLAT"),1,IF(D75="UP",1,0))</f>
        <v>0</v>
      </c>
      <c r="H75" s="56" t="s">
        <v>71</v>
      </c>
    </row>
    <row r="76" spans="3:12" x14ac:dyDescent="0.15">
      <c r="C76" s="7" t="s">
        <v>154</v>
      </c>
      <c r="D76" s="39"/>
      <c r="E76" s="60" t="s">
        <v>63</v>
      </c>
      <c r="F76" s="16">
        <f>IF(D76="",0,IF(D76&gt;0.1,1,0))</f>
        <v>0</v>
      </c>
      <c r="H76" s="56" t="s">
        <v>68</v>
      </c>
    </row>
    <row r="77" spans="3:12" x14ac:dyDescent="0.15">
      <c r="C77" s="7" t="s">
        <v>153</v>
      </c>
      <c r="D77" s="39"/>
      <c r="E77" s="60" t="s">
        <v>155</v>
      </c>
      <c r="F77" s="16">
        <f>IF(D77&gt;=10%,1,0)</f>
        <v>0</v>
      </c>
      <c r="H77" s="56" t="s">
        <v>156</v>
      </c>
    </row>
    <row r="78" spans="3:12" x14ac:dyDescent="0.15">
      <c r="C78" s="65"/>
      <c r="F78" s="64">
        <f>SUM(F73:F77)</f>
        <v>0</v>
      </c>
      <c r="G78" s="53" t="s">
        <v>69</v>
      </c>
    </row>
    <row r="80" spans="3:12" x14ac:dyDescent="0.15">
      <c r="C80" s="13" t="s">
        <v>70</v>
      </c>
      <c r="D80" s="15"/>
      <c r="E80" s="59" t="s">
        <v>55</v>
      </c>
      <c r="F80" s="59" t="s">
        <v>53</v>
      </c>
    </row>
    <row r="81" spans="3:9" x14ac:dyDescent="0.15">
      <c r="C81" s="7" t="s">
        <v>72</v>
      </c>
      <c r="D81" s="39"/>
      <c r="E81" s="60" t="s">
        <v>73</v>
      </c>
      <c r="F81" s="16">
        <f>IF(D81="",0,IF(D81&gt;0.05,1,0))</f>
        <v>0</v>
      </c>
      <c r="H81" s="56" t="s">
        <v>99</v>
      </c>
    </row>
    <row r="82" spans="3:9" x14ac:dyDescent="0.15">
      <c r="C82" s="7" t="s">
        <v>75</v>
      </c>
      <c r="D82" s="39"/>
      <c r="E82" s="16" t="s">
        <v>83</v>
      </c>
      <c r="F82" s="16">
        <f>IF(OR(D82="TOP3",D82="LEADER"),1,0)</f>
        <v>0</v>
      </c>
      <c r="H82" s="56" t="s">
        <v>91</v>
      </c>
    </row>
    <row r="83" spans="3:9" x14ac:dyDescent="0.15">
      <c r="C83" s="7" t="s">
        <v>74</v>
      </c>
      <c r="D83" s="37"/>
      <c r="E83" s="60" t="s">
        <v>84</v>
      </c>
      <c r="F83" s="16">
        <f>IF(D83="STRONG",1,0)</f>
        <v>0</v>
      </c>
      <c r="H83" s="56" t="s">
        <v>90</v>
      </c>
    </row>
    <row r="84" spans="3:9" x14ac:dyDescent="0.15">
      <c r="C84" s="7" t="s">
        <v>85</v>
      </c>
      <c r="D84" s="76"/>
      <c r="E84" s="16" t="s">
        <v>87</v>
      </c>
      <c r="F84" s="16">
        <f>IF(OR(D84="MEDIUM",D84="LOW"),1,0)</f>
        <v>0</v>
      </c>
      <c r="H84" s="56" t="s">
        <v>97</v>
      </c>
    </row>
    <row r="85" spans="3:9" x14ac:dyDescent="0.15">
      <c r="C85" s="7" t="s">
        <v>86</v>
      </c>
      <c r="D85" s="39"/>
      <c r="E85" s="16" t="s">
        <v>87</v>
      </c>
      <c r="F85" s="16">
        <f>IF(OR(D85="MEDIUM",D85="LOW"),1,0)</f>
        <v>0</v>
      </c>
      <c r="H85" s="56" t="s">
        <v>98</v>
      </c>
    </row>
    <row r="86" spans="3:9" x14ac:dyDescent="0.15">
      <c r="F86" s="64">
        <f>SUM(F81:F85)</f>
        <v>0</v>
      </c>
      <c r="G86" s="53" t="s">
        <v>69</v>
      </c>
    </row>
    <row r="88" spans="3:9" x14ac:dyDescent="0.15">
      <c r="C88" s="13" t="s">
        <v>76</v>
      </c>
      <c r="D88" s="15"/>
      <c r="E88" s="59" t="s">
        <v>55</v>
      </c>
      <c r="F88" s="59" t="s">
        <v>53</v>
      </c>
    </row>
    <row r="89" spans="3:9" x14ac:dyDescent="0.15">
      <c r="C89" s="7" t="s">
        <v>79</v>
      </c>
      <c r="D89" s="61"/>
      <c r="E89" s="60" t="s">
        <v>77</v>
      </c>
      <c r="F89" s="16">
        <f>IF(D89="",0,IF(D89&gt;=3,1,0))</f>
        <v>0</v>
      </c>
      <c r="H89" s="56" t="s">
        <v>111</v>
      </c>
    </row>
    <row r="90" spans="3:9" x14ac:dyDescent="0.15">
      <c r="C90" s="7" t="s">
        <v>78</v>
      </c>
      <c r="D90" s="37"/>
      <c r="E90" s="16" t="s">
        <v>105</v>
      </c>
      <c r="F90" s="16">
        <f>IF(OR(D90="&gt;0.1%",D90="FOUNDER"),1,0)</f>
        <v>0</v>
      </c>
      <c r="H90" s="56" t="s">
        <v>96</v>
      </c>
    </row>
    <row r="91" spans="3:9" x14ac:dyDescent="0.15">
      <c r="C91" s="7" t="s">
        <v>157</v>
      </c>
      <c r="D91" s="61"/>
      <c r="E91" s="60" t="s">
        <v>158</v>
      </c>
      <c r="F91" s="16">
        <f>IF(D91="",0,IF(D91&gt;=3,1,0))</f>
        <v>0</v>
      </c>
      <c r="H91" s="56" t="s">
        <v>159</v>
      </c>
    </row>
    <row r="92" spans="3:9" x14ac:dyDescent="0.15">
      <c r="C92" s="7" t="s">
        <v>93</v>
      </c>
      <c r="D92" s="37"/>
      <c r="E92" s="16" t="s">
        <v>95</v>
      </c>
      <c r="F92" s="16">
        <f>IF(OR(D92="NET BUY",D92="BALANCED"),1,0)</f>
        <v>0</v>
      </c>
      <c r="H92" s="56" t="s">
        <v>110</v>
      </c>
    </row>
    <row r="93" spans="3:9" x14ac:dyDescent="0.15">
      <c r="C93" s="7" t="s">
        <v>94</v>
      </c>
      <c r="D93" s="37"/>
      <c r="E93" s="16" t="s">
        <v>95</v>
      </c>
      <c r="F93" s="16">
        <f>IF(OR(D93="NET BUY",D93="BALANCED"),1,0)</f>
        <v>0</v>
      </c>
      <c r="H93" s="56" t="s">
        <v>109</v>
      </c>
    </row>
    <row r="94" spans="3:9" x14ac:dyDescent="0.15">
      <c r="F94" s="64">
        <f>SUM(F89:F93)</f>
        <v>0</v>
      </c>
      <c r="G94" s="53" t="s">
        <v>69</v>
      </c>
    </row>
    <row r="96" spans="3:9" x14ac:dyDescent="0.15">
      <c r="C96" s="66" t="s">
        <v>80</v>
      </c>
      <c r="D96" s="67"/>
      <c r="E96" s="67"/>
      <c r="F96" s="68">
        <f>F70+F78+F86+F94</f>
        <v>0</v>
      </c>
      <c r="G96" s="53" t="s">
        <v>81</v>
      </c>
      <c r="H96" s="94" t="str">
        <f>IF(F96&gt;=15,"LOW RISK",IF(F96&gt;=12,"MODERATE RISK",IF(F96&gt;=10,"SOME RISK",IF(F96&gt;=8,"INCREASED RISK","HIGH RISK"))))</f>
        <v>HIGH RISK</v>
      </c>
      <c r="I96" s="95"/>
    </row>
    <row r="97" spans="3:13" ht="15" thickBot="1" x14ac:dyDescent="0.2"/>
    <row r="98" spans="3:13" ht="17" customHeight="1" thickTop="1" x14ac:dyDescent="0.15">
      <c r="C98" s="96" t="s">
        <v>114</v>
      </c>
      <c r="D98" s="96"/>
      <c r="E98" s="96"/>
      <c r="F98" s="96"/>
      <c r="G98" s="96"/>
      <c r="H98" s="96"/>
      <c r="I98" s="96"/>
      <c r="J98" s="96"/>
      <c r="K98" s="96"/>
      <c r="L98" s="96"/>
      <c r="M98" s="96"/>
    </row>
    <row r="99" spans="3:13" x14ac:dyDescent="0.15">
      <c r="C99" s="97" t="s">
        <v>123</v>
      </c>
      <c r="D99" s="97"/>
      <c r="E99" s="97"/>
      <c r="F99" s="97"/>
      <c r="G99" s="97"/>
      <c r="H99" s="97"/>
      <c r="I99" s="97"/>
      <c r="J99" s="97"/>
      <c r="K99" s="97"/>
      <c r="L99" s="97"/>
      <c r="M99" s="97"/>
    </row>
  </sheetData>
  <mergeCells count="22">
    <mergeCell ref="H59:I59"/>
    <mergeCell ref="H96:I96"/>
    <mergeCell ref="C98:M98"/>
    <mergeCell ref="C99:M99"/>
    <mergeCell ref="F28:L34"/>
    <mergeCell ref="C30:D30"/>
    <mergeCell ref="D38:F38"/>
    <mergeCell ref="G38:I38"/>
    <mergeCell ref="K45:L45"/>
    <mergeCell ref="J53:L53"/>
    <mergeCell ref="J25:L25"/>
    <mergeCell ref="I7:J7"/>
    <mergeCell ref="I8:J8"/>
    <mergeCell ref="I9:J9"/>
    <mergeCell ref="J15:L15"/>
    <mergeCell ref="J16:L16"/>
    <mergeCell ref="J17:L17"/>
    <mergeCell ref="J18:L18"/>
    <mergeCell ref="J21:L21"/>
    <mergeCell ref="J22:L22"/>
    <mergeCell ref="J23:L23"/>
    <mergeCell ref="J24:L24"/>
  </mergeCells>
  <conditionalFormatting sqref="D5 D27:D28">
    <cfRule type="containsText" dxfId="55" priority="26" operator="containsText" text="undervalued">
      <formula>NOT(ISERROR(SEARCH("undervalued",D5)))</formula>
    </cfRule>
  </conditionalFormatting>
  <conditionalFormatting sqref="D8:D20 I12 E15:I15 E16 E17:I18 D24:D27 G38:G50 D40:F49 H40:I49">
    <cfRule type="containsText" dxfId="54" priority="28" operator="containsText" text="undervalued">
      <formula>NOT(ISERROR(SEARCH("undervalued",D8)))</formula>
    </cfRule>
  </conditionalFormatting>
  <conditionalFormatting sqref="D24:D27 E16 D8:D20 I12 E15:I15 E17:I18 G38:G50 D40:F49 H40:I49">
    <cfRule type="containsText" dxfId="53" priority="27" operator="containsText" text="overvalued">
      <formula>NOT(ISERROR(SEARCH("overvalued",D8)))</formula>
    </cfRule>
  </conditionalFormatting>
  <conditionalFormatting sqref="D27:D28 D5">
    <cfRule type="containsText" dxfId="52" priority="25" operator="containsText" text="overvalued">
      <formula>NOT(ISERROR(SEARCH("overvalued",D5)))</formula>
    </cfRule>
  </conditionalFormatting>
  <conditionalFormatting sqref="D28">
    <cfRule type="containsText" dxfId="51" priority="10" operator="containsText" text="undervalued">
      <formula>NOT(ISERROR(SEARCH("undervalued",D28)))</formula>
    </cfRule>
    <cfRule type="containsText" dxfId="50" priority="9" operator="containsText" text="overvalued">
      <formula>NOT(ISERROR(SEARCH("overvalued",D28)))</formula>
    </cfRule>
  </conditionalFormatting>
  <conditionalFormatting sqref="D37:D39">
    <cfRule type="containsText" dxfId="49" priority="24" operator="containsText" text="undervalued">
      <formula>NOT(ISERROR(SEARCH("undervalued",D37)))</formula>
    </cfRule>
    <cfRule type="containsText" dxfId="48" priority="23" operator="containsText" text="overvalued">
      <formula>NOT(ISERROR(SEARCH("overvalued",D37)))</formula>
    </cfRule>
  </conditionalFormatting>
  <conditionalFormatting sqref="D50:D60">
    <cfRule type="containsText" dxfId="47" priority="5" operator="containsText" text="overvalued">
      <formula>NOT(ISERROR(SEARCH("overvalued",D50)))</formula>
    </cfRule>
    <cfRule type="containsText" dxfId="46" priority="6" operator="containsText" text="undervalued">
      <formula>NOT(ISERROR(SEARCH("undervalued",D50)))</formula>
    </cfRule>
  </conditionalFormatting>
  <conditionalFormatting sqref="E50">
    <cfRule type="containsText" dxfId="45" priority="1" operator="containsText" text="overvalued">
      <formula>NOT(ISERROR(SEARCH("overvalued",E50)))</formula>
    </cfRule>
    <cfRule type="containsText" dxfId="44" priority="2" operator="containsText" text="undervalued">
      <formula>NOT(ISERROR(SEARCH("undervalued",E50)))</formula>
    </cfRule>
  </conditionalFormatting>
  <conditionalFormatting sqref="E16:F16">
    <cfRule type="containsText" dxfId="43" priority="8" operator="containsText" text="undervalued">
      <formula>NOT(ISERROR(SEARCH("undervalued",E16)))</formula>
    </cfRule>
    <cfRule type="containsText" dxfId="42" priority="7" operator="containsText" text="overvalued">
      <formula>NOT(ISERROR(SEARCH("overvalued",E16)))</formula>
    </cfRule>
  </conditionalFormatting>
  <conditionalFormatting sqref="E51:F54">
    <cfRule type="containsText" dxfId="41" priority="3" operator="containsText" text="overvalued">
      <formula>NOT(ISERROR(SEARCH("overvalued",E51)))</formula>
    </cfRule>
    <cfRule type="containsText" dxfId="40" priority="4" operator="containsText" text="undervalued">
      <formula>NOT(ISERROR(SEARCH("undervalued",E51)))</formula>
    </cfRule>
  </conditionalFormatting>
  <conditionalFormatting sqref="G55:I55">
    <cfRule type="expression" dxfId="39" priority="20">
      <formula>AND(G55&gt;-0.25,G55&lt;0.25)</formula>
    </cfRule>
    <cfRule type="expression" dxfId="38" priority="21">
      <formula>G55&lt;=-0.25</formula>
    </cfRule>
    <cfRule type="expression" dxfId="37" priority="22">
      <formula>G55&gt;=0.25</formula>
    </cfRule>
  </conditionalFormatting>
  <conditionalFormatting sqref="H59">
    <cfRule type="expression" dxfId="36" priority="17">
      <formula>$H$59="BUY"</formula>
    </cfRule>
    <cfRule type="expression" dxfId="35" priority="19">
      <formula>$H$59="SELL"</formula>
    </cfRule>
    <cfRule type="expression" dxfId="34" priority="16">
      <formula>$H$59="STRONG BUY"</formula>
    </cfRule>
    <cfRule type="expression" dxfId="33" priority="18">
      <formula>$H$59="HOLD"</formula>
    </cfRule>
  </conditionalFormatting>
  <conditionalFormatting sqref="H96">
    <cfRule type="expression" dxfId="32" priority="12">
      <formula>$H$96="MODERATE RISK"</formula>
    </cfRule>
    <cfRule type="expression" dxfId="31" priority="11">
      <formula>$H$96="LOW RISK"</formula>
    </cfRule>
    <cfRule type="expression" dxfId="30" priority="14">
      <formula>$H$96="INCREASED RISK"</formula>
    </cfRule>
    <cfRule type="expression" dxfId="29" priority="13">
      <formula>$H$96="SOME RISK"</formula>
    </cfRule>
    <cfRule type="expression" dxfId="28" priority="15">
      <formula>$H$96="HIGH RISK"</formula>
    </cfRule>
  </conditionalFormatting>
  <dataValidations count="11">
    <dataValidation type="list" allowBlank="1" showInputMessage="1" showErrorMessage="1" sqref="D8" xr:uid="{8C0BE8A5-1D50-2F4B-A9F6-BC86B64C6EC0}">
      <formula1>"million,billion"</formula1>
    </dataValidation>
    <dataValidation type="list" allowBlank="1" showInputMessage="1" showErrorMessage="1" sqref="D31" xr:uid="{3BCFD9F2-20FD-7742-A946-09F34A6BEB7A}">
      <formula1>"STRONG BUY,BUY,HOLD,UNDERPERFORM,SELL"</formula1>
    </dataValidation>
    <dataValidation type="list" allowBlank="1" showInputMessage="1" showErrorMessage="1" sqref="D92:D93" xr:uid="{98BD3640-236B-0942-ADA3-A517B87C8129}">
      <formula1>"NET BUY,BALANCED,NET SELL"</formula1>
    </dataValidation>
    <dataValidation type="list" allowBlank="1" showInputMessage="1" showErrorMessage="1" sqref="D82" xr:uid="{59191098-DDB1-2D4C-A980-A2CE888D78E3}">
      <formula1>"LEADER,TOP3,FOLLOWER,NEWCOMER"</formula1>
    </dataValidation>
    <dataValidation type="list" allowBlank="1" showInputMessage="1" showErrorMessage="1" sqref="D83" xr:uid="{7CDB7A1A-44A0-AB48-B6D9-1D3E1B8A4EF6}">
      <formula1>"STRONG,MODERATE,WEAK"</formula1>
    </dataValidation>
    <dataValidation type="list" allowBlank="1" showInputMessage="1" showErrorMessage="1" sqref="D84:D85" xr:uid="{C6687960-BCDE-4048-9440-7FDA3EEA1621}">
      <formula1>"LOW,MEDIUM,HIGH"</formula1>
    </dataValidation>
    <dataValidation type="list" allowBlank="1" showInputMessage="1" showErrorMessage="1" sqref="D90" xr:uid="{61E92DE8-68A7-1649-A13E-7E8A05E08785}">
      <formula1>"&lt;0.1%,&gt;0.1%,FOUNDER"</formula1>
    </dataValidation>
    <dataValidation type="list" allowBlank="1" showInputMessage="1" showErrorMessage="1" sqref="D75" xr:uid="{2AE567EC-6F22-CA4F-AA75-2CCCE16A1587}">
      <formula1>"DOWN,FLAT,UP"</formula1>
    </dataValidation>
    <dataValidation type="list" allowBlank="1" showInputMessage="1" showErrorMessage="1" sqref="D10" xr:uid="{2F3A6FA6-CA0F-514B-B3F2-F40EE7511AAD}">
      <formula1>L_MONTH</formula1>
    </dataValidation>
    <dataValidation type="list" allowBlank="1" showInputMessage="1" showErrorMessage="1" sqref="D11" xr:uid="{6DC8258C-AF26-5A40-863B-2538486581E8}">
      <formula1>L_YEAR</formula1>
    </dataValidation>
    <dataValidation type="list" allowBlank="1" showInputMessage="1" showErrorMessage="1" sqref="D91" xr:uid="{18545E51-9E05-0E49-BB75-A821303BF967}">
      <formula1>"Yes,No"</formula1>
    </dataValidation>
  </dataValidations>
  <pageMargins left="0.70866141732283472" right="0.70866141732283472" top="0.78740157480314965" bottom="0.78740157480314965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ED8EB-28DF-5B43-94E7-E12CA9C19E44}">
  <sheetPr>
    <tabColor rgb="FF0070C0"/>
    <pageSetUpPr fitToPage="1"/>
  </sheetPr>
  <dimension ref="A2:O99"/>
  <sheetViews>
    <sheetView showGridLines="0" tabSelected="1" topLeftCell="B1" zoomScale="120" zoomScaleNormal="120" workbookViewId="0">
      <selection activeCell="H96" sqref="H96:I96"/>
    </sheetView>
  </sheetViews>
  <sheetFormatPr baseColWidth="10" defaultColWidth="11.5" defaultRowHeight="14" x14ac:dyDescent="0.15"/>
  <cols>
    <col min="1" max="1" width="11.5" style="16" hidden="1" customWidth="1"/>
    <col min="2" max="2" width="4.33203125" style="7" customWidth="1"/>
    <col min="3" max="3" width="26.5" style="7" customWidth="1"/>
    <col min="4" max="4" width="12.6640625" style="7" customWidth="1"/>
    <col min="5" max="5" width="13.5" style="7" customWidth="1"/>
    <col min="6" max="12" width="12.6640625" style="7" customWidth="1"/>
    <col min="13" max="13" width="5.1640625" style="7" customWidth="1"/>
    <col min="14" max="14" width="11.6640625" style="7" customWidth="1"/>
    <col min="15" max="16384" width="11.5" style="7"/>
  </cols>
  <sheetData>
    <row r="2" spans="1:15" ht="18" x14ac:dyDescent="0.2">
      <c r="C2" s="54" t="str">
        <f>"Stock Analysis - "&amp;I7</f>
        <v>Stock Analysis - Crocs, Inc</v>
      </c>
      <c r="I2" s="7" t="s">
        <v>1</v>
      </c>
      <c r="J2" s="55">
        <v>45807</v>
      </c>
    </row>
    <row r="4" spans="1:15" x14ac:dyDescent="0.15">
      <c r="C4" s="31" t="s">
        <v>150</v>
      </c>
      <c r="D4" s="32"/>
      <c r="E4" s="33"/>
      <c r="F4" s="33"/>
      <c r="G4" s="33"/>
      <c r="H4" s="33"/>
      <c r="I4" s="33"/>
      <c r="J4" s="33"/>
      <c r="K4" s="33"/>
      <c r="L4" s="33"/>
      <c r="M4" s="33"/>
      <c r="O4" s="8" t="s">
        <v>124</v>
      </c>
    </row>
    <row r="5" spans="1:15" x14ac:dyDescent="0.15">
      <c r="C5" s="8"/>
      <c r="D5" s="9"/>
    </row>
    <row r="6" spans="1:15" x14ac:dyDescent="0.15">
      <c r="A6" s="52" t="s">
        <v>18</v>
      </c>
      <c r="C6" s="13" t="s">
        <v>4</v>
      </c>
      <c r="D6" s="13"/>
      <c r="E6" s="13"/>
      <c r="F6" s="12"/>
      <c r="G6" s="12"/>
      <c r="H6" s="12"/>
      <c r="I6" s="12"/>
      <c r="J6" s="12"/>
    </row>
    <row r="7" spans="1:15" x14ac:dyDescent="0.15">
      <c r="A7" s="16" t="s">
        <v>19</v>
      </c>
      <c r="C7" s="5" t="s">
        <v>113</v>
      </c>
      <c r="D7" s="35" t="s">
        <v>118</v>
      </c>
      <c r="G7" s="7" t="s">
        <v>112</v>
      </c>
      <c r="I7" s="88" t="s">
        <v>119</v>
      </c>
      <c r="J7" s="88"/>
    </row>
    <row r="8" spans="1:15" x14ac:dyDescent="0.15">
      <c r="A8" s="16">
        <f>D11</f>
        <v>2025</v>
      </c>
      <c r="C8" s="5" t="s">
        <v>126</v>
      </c>
      <c r="D8" s="36" t="s">
        <v>127</v>
      </c>
      <c r="G8" s="7" t="s">
        <v>3</v>
      </c>
      <c r="I8" s="89" t="s">
        <v>120</v>
      </c>
      <c r="J8" s="89"/>
    </row>
    <row r="9" spans="1:15" x14ac:dyDescent="0.15">
      <c r="A9" s="16">
        <f>A8+1</f>
        <v>2026</v>
      </c>
      <c r="C9" s="5" t="s">
        <v>13</v>
      </c>
      <c r="D9" s="36" t="s">
        <v>7</v>
      </c>
      <c r="G9" s="74" t="s">
        <v>115</v>
      </c>
      <c r="I9" s="89" t="s">
        <v>121</v>
      </c>
      <c r="J9" s="89"/>
    </row>
    <row r="10" spans="1:15" x14ac:dyDescent="0.15">
      <c r="A10" s="16">
        <f>A9+1</f>
        <v>2027</v>
      </c>
      <c r="C10" s="5" t="s">
        <v>34</v>
      </c>
      <c r="D10" s="36">
        <v>5</v>
      </c>
      <c r="G10" s="7" t="s">
        <v>27</v>
      </c>
      <c r="I10" s="73">
        <v>101</v>
      </c>
      <c r="J10" s="7" t="str">
        <f>IF(D9="","","(in "&amp;D9&amp;")")</f>
        <v>(in USD)</v>
      </c>
    </row>
    <row r="11" spans="1:15" x14ac:dyDescent="0.15">
      <c r="A11" s="16">
        <f t="shared" ref="A11:A17" si="0">A10+1</f>
        <v>2028</v>
      </c>
      <c r="C11" s="5" t="s">
        <v>35</v>
      </c>
      <c r="D11" s="36">
        <v>2025</v>
      </c>
      <c r="G11" s="7" t="s">
        <v>26</v>
      </c>
      <c r="I11" s="38">
        <v>5.83</v>
      </c>
      <c r="J11" s="7" t="str">
        <f>IF(OR($D$8="",$D$9=""),"","(in "&amp;$D$8&amp;" "&amp;$D$9&amp;")")</f>
        <v>(in billion USD)</v>
      </c>
      <c r="L11" s="28"/>
    </row>
    <row r="12" spans="1:15" x14ac:dyDescent="0.15">
      <c r="A12" s="16">
        <f t="shared" si="0"/>
        <v>2029</v>
      </c>
      <c r="C12" s="5" t="s">
        <v>36</v>
      </c>
      <c r="D12" s="37">
        <f>(992.5-69.3)/1000</f>
        <v>0.92320000000000002</v>
      </c>
      <c r="E12" s="7" t="str">
        <f>IF(OR($D$8="",$D$9=""),"","(in "&amp;$D$8&amp;" "&amp;$D$9&amp;")")</f>
        <v>(in billion USD)</v>
      </c>
      <c r="G12" s="5" t="s">
        <v>30</v>
      </c>
      <c r="I12" s="39">
        <v>0.1</v>
      </c>
      <c r="J12" s="7" t="s">
        <v>20</v>
      </c>
    </row>
    <row r="13" spans="1:15" x14ac:dyDescent="0.15">
      <c r="C13" s="5" t="s">
        <v>135</v>
      </c>
      <c r="D13" s="37">
        <v>1.7</v>
      </c>
      <c r="E13" s="7" t="str">
        <f>E12</f>
        <v>(in billion USD)</v>
      </c>
    </row>
    <row r="14" spans="1:15" x14ac:dyDescent="0.15">
      <c r="A14" s="16">
        <f>A12+1</f>
        <v>2030</v>
      </c>
      <c r="C14" s="5"/>
      <c r="D14" s="9"/>
    </row>
    <row r="15" spans="1:15" x14ac:dyDescent="0.15">
      <c r="A15" s="16">
        <f t="shared" si="0"/>
        <v>2031</v>
      </c>
      <c r="C15" s="6" t="s">
        <v>128</v>
      </c>
      <c r="D15" s="10">
        <f>D11</f>
        <v>2025</v>
      </c>
      <c r="E15" s="10">
        <f>D15+1</f>
        <v>2026</v>
      </c>
      <c r="F15" s="10">
        <f>E15+1</f>
        <v>2027</v>
      </c>
      <c r="G15" s="10">
        <f>F15+1</f>
        <v>2028</v>
      </c>
      <c r="H15" s="10">
        <f>G15+1</f>
        <v>2029</v>
      </c>
      <c r="I15" s="10" t="s">
        <v>17</v>
      </c>
      <c r="J15" s="90" t="s">
        <v>145</v>
      </c>
      <c r="K15" s="90"/>
      <c r="L15" s="90"/>
    </row>
    <row r="16" spans="1:15" x14ac:dyDescent="0.15">
      <c r="A16" s="16">
        <f t="shared" si="0"/>
        <v>2032</v>
      </c>
      <c r="C16" s="5" t="s">
        <v>14</v>
      </c>
      <c r="D16" s="69">
        <v>-0.05</v>
      </c>
      <c r="E16" s="69">
        <v>0</v>
      </c>
      <c r="F16" s="69">
        <v>0.03</v>
      </c>
      <c r="G16" s="70">
        <v>0.03</v>
      </c>
      <c r="H16" s="70">
        <v>0.03</v>
      </c>
      <c r="I16" s="70">
        <v>0.01</v>
      </c>
      <c r="J16" s="91" t="s">
        <v>148</v>
      </c>
      <c r="K16" s="91"/>
      <c r="L16" s="91"/>
    </row>
    <row r="17" spans="1:12" x14ac:dyDescent="0.15">
      <c r="A17" s="16">
        <f t="shared" si="0"/>
        <v>2033</v>
      </c>
      <c r="C17" s="5" t="s">
        <v>15</v>
      </c>
      <c r="D17" s="34">
        <v>-0.02</v>
      </c>
      <c r="E17" s="34">
        <v>0.05</v>
      </c>
      <c r="F17" s="34">
        <v>7.0000000000000007E-2</v>
      </c>
      <c r="G17" s="34">
        <v>7.0000000000000007E-2</v>
      </c>
      <c r="H17" s="34">
        <v>7.0000000000000007E-2</v>
      </c>
      <c r="I17" s="34">
        <v>0.02</v>
      </c>
      <c r="J17" s="92" t="s">
        <v>149</v>
      </c>
      <c r="K17" s="92"/>
      <c r="L17" s="92"/>
    </row>
    <row r="18" spans="1:12" x14ac:dyDescent="0.15">
      <c r="C18" s="5" t="s">
        <v>16</v>
      </c>
      <c r="D18" s="34">
        <v>-0.08</v>
      </c>
      <c r="E18" s="34">
        <v>-0.06</v>
      </c>
      <c r="F18" s="34">
        <v>-0.04</v>
      </c>
      <c r="G18" s="34">
        <v>-0.02</v>
      </c>
      <c r="H18" s="34">
        <v>-0.01</v>
      </c>
      <c r="I18" s="34">
        <v>0</v>
      </c>
      <c r="J18" s="92" t="s">
        <v>147</v>
      </c>
      <c r="K18" s="92"/>
      <c r="L18" s="92"/>
    </row>
    <row r="19" spans="1:12" x14ac:dyDescent="0.15">
      <c r="C19" s="5"/>
      <c r="D19" s="9"/>
    </row>
    <row r="20" spans="1:12" x14ac:dyDescent="0.15">
      <c r="C20" s="6" t="s">
        <v>130</v>
      </c>
      <c r="D20" s="59" t="str">
        <f>"from "&amp;D15+9</f>
        <v>from 2034</v>
      </c>
      <c r="F20" s="8" t="s">
        <v>138</v>
      </c>
      <c r="G20" s="8"/>
      <c r="H20" s="16" t="str">
        <f>E13</f>
        <v>(in billion USD)</v>
      </c>
      <c r="I20" s="8"/>
    </row>
    <row r="21" spans="1:12" ht="14" customHeight="1" x14ac:dyDescent="0.15">
      <c r="C21" s="5" t="s">
        <v>14</v>
      </c>
      <c r="D21" s="82">
        <v>0.01</v>
      </c>
      <c r="F21" s="12"/>
      <c r="G21" s="10" t="s">
        <v>21</v>
      </c>
      <c r="H21" s="10" t="s">
        <v>23</v>
      </c>
      <c r="I21" s="10" t="s">
        <v>22</v>
      </c>
      <c r="J21" s="90" t="s">
        <v>145</v>
      </c>
      <c r="K21" s="90"/>
      <c r="L21" s="90"/>
    </row>
    <row r="22" spans="1:12" ht="14" customHeight="1" x14ac:dyDescent="0.15">
      <c r="C22" s="5" t="s">
        <v>15</v>
      </c>
      <c r="D22" s="75">
        <v>1.4999999999999999E-2</v>
      </c>
      <c r="F22" s="9" t="s">
        <v>139</v>
      </c>
      <c r="G22" s="84">
        <v>0</v>
      </c>
      <c r="H22" s="84">
        <v>0</v>
      </c>
      <c r="I22" s="84">
        <v>0</v>
      </c>
      <c r="J22" s="91"/>
      <c r="K22" s="91"/>
      <c r="L22" s="91"/>
    </row>
    <row r="23" spans="1:12" ht="14" customHeight="1" x14ac:dyDescent="0.15">
      <c r="C23" s="5" t="s">
        <v>16</v>
      </c>
      <c r="D23" s="75">
        <v>0</v>
      </c>
      <c r="F23" s="9" t="s">
        <v>140</v>
      </c>
      <c r="G23" s="85">
        <v>0</v>
      </c>
      <c r="H23" s="85">
        <v>0</v>
      </c>
      <c r="I23" s="85">
        <v>0</v>
      </c>
      <c r="J23" s="92"/>
      <c r="K23" s="92"/>
      <c r="L23" s="92"/>
    </row>
    <row r="24" spans="1:12" ht="14" customHeight="1" x14ac:dyDescent="0.15">
      <c r="C24" s="8"/>
      <c r="D24" s="16"/>
      <c r="F24" s="10" t="s">
        <v>141</v>
      </c>
      <c r="G24" s="86">
        <v>0</v>
      </c>
      <c r="H24" s="86">
        <v>0</v>
      </c>
      <c r="I24" s="86">
        <v>0</v>
      </c>
      <c r="J24" s="93"/>
      <c r="K24" s="93"/>
      <c r="L24" s="93"/>
    </row>
    <row r="25" spans="1:12" x14ac:dyDescent="0.15">
      <c r="C25" s="13" t="s">
        <v>28</v>
      </c>
      <c r="D25" s="59" t="s">
        <v>29</v>
      </c>
      <c r="F25" s="14" t="s">
        <v>142</v>
      </c>
      <c r="G25" s="8">
        <f>SUM(G22:G24)</f>
        <v>0</v>
      </c>
      <c r="H25" s="8">
        <f>SUM(H22:H24)</f>
        <v>0</v>
      </c>
      <c r="I25" s="8">
        <f>SUM(I22:I24)</f>
        <v>0</v>
      </c>
      <c r="J25" s="87"/>
      <c r="K25" s="87"/>
      <c r="L25" s="87"/>
    </row>
    <row r="26" spans="1:12" x14ac:dyDescent="0.15">
      <c r="C26" s="7" t="s">
        <v>14</v>
      </c>
      <c r="D26" s="83">
        <v>0.6</v>
      </c>
    </row>
    <row r="27" spans="1:12" x14ac:dyDescent="0.15">
      <c r="C27" s="7" t="s">
        <v>15</v>
      </c>
      <c r="D27" s="39">
        <v>0.2</v>
      </c>
      <c r="F27" s="8" t="s">
        <v>117</v>
      </c>
    </row>
    <row r="28" spans="1:12" ht="16" customHeight="1" x14ac:dyDescent="0.15">
      <c r="C28" s="7" t="s">
        <v>16</v>
      </c>
      <c r="D28" s="72">
        <f>100%-(D26+D27)</f>
        <v>0.19999999999999996</v>
      </c>
      <c r="F28" s="98" t="s">
        <v>146</v>
      </c>
      <c r="G28" s="99"/>
      <c r="H28" s="99"/>
      <c r="I28" s="99"/>
      <c r="J28" s="99"/>
      <c r="K28" s="99"/>
      <c r="L28" s="100"/>
    </row>
    <row r="29" spans="1:12" ht="16" customHeight="1" x14ac:dyDescent="0.15">
      <c r="F29" s="101"/>
      <c r="G29" s="102"/>
      <c r="H29" s="102"/>
      <c r="I29" s="102"/>
      <c r="J29" s="102"/>
      <c r="K29" s="102"/>
      <c r="L29" s="103"/>
    </row>
    <row r="30" spans="1:12" ht="16" customHeight="1" x14ac:dyDescent="0.15">
      <c r="C30" s="107" t="s">
        <v>143</v>
      </c>
      <c r="D30" s="107"/>
      <c r="F30" s="101"/>
      <c r="G30" s="102"/>
      <c r="H30" s="102"/>
      <c r="I30" s="102"/>
      <c r="J30" s="102"/>
      <c r="K30" s="102"/>
      <c r="L30" s="103"/>
    </row>
    <row r="31" spans="1:12" ht="16" customHeight="1" x14ac:dyDescent="0.15">
      <c r="C31" s="81" t="s">
        <v>144</v>
      </c>
      <c r="D31" s="71" t="s">
        <v>41</v>
      </c>
      <c r="F31" s="101"/>
      <c r="G31" s="102"/>
      <c r="H31" s="102"/>
      <c r="I31" s="102"/>
      <c r="J31" s="102"/>
      <c r="K31" s="102"/>
      <c r="L31" s="103"/>
    </row>
    <row r="32" spans="1:12" ht="16" customHeight="1" x14ac:dyDescent="0.15">
      <c r="C32" s="81" t="s">
        <v>136</v>
      </c>
      <c r="D32" s="36">
        <v>127.47</v>
      </c>
      <c r="F32" s="101"/>
      <c r="G32" s="102"/>
      <c r="H32" s="102"/>
      <c r="I32" s="102"/>
      <c r="J32" s="102"/>
      <c r="K32" s="102"/>
      <c r="L32" s="103"/>
    </row>
    <row r="33" spans="1:13" ht="16" customHeight="1" x14ac:dyDescent="0.15">
      <c r="C33" s="81" t="s">
        <v>137</v>
      </c>
      <c r="D33" s="72">
        <f>IFERROR(D32/I10-1,"")</f>
        <v>0.26207920792079209</v>
      </c>
      <c r="F33" s="101"/>
      <c r="G33" s="102"/>
      <c r="H33" s="102"/>
      <c r="I33" s="102"/>
      <c r="J33" s="102"/>
      <c r="K33" s="102"/>
      <c r="L33" s="103"/>
    </row>
    <row r="34" spans="1:13" ht="16" customHeight="1" x14ac:dyDescent="0.15">
      <c r="C34" s="81" t="s">
        <v>116</v>
      </c>
      <c r="D34" s="75">
        <v>0.108</v>
      </c>
      <c r="F34" s="104"/>
      <c r="G34" s="105"/>
      <c r="H34" s="105"/>
      <c r="I34" s="105"/>
      <c r="J34" s="105"/>
      <c r="K34" s="105"/>
      <c r="L34" s="106"/>
    </row>
    <row r="36" spans="1:13" x14ac:dyDescent="0.15">
      <c r="C36" s="31" t="s">
        <v>151</v>
      </c>
      <c r="D36" s="32"/>
      <c r="E36" s="33"/>
      <c r="F36" s="33"/>
      <c r="G36" s="33"/>
      <c r="H36" s="33"/>
      <c r="I36" s="33"/>
      <c r="J36" s="33"/>
      <c r="K36" s="33"/>
      <c r="L36" s="33"/>
      <c r="M36" s="33"/>
    </row>
    <row r="37" spans="1:13" x14ac:dyDescent="0.15">
      <c r="C37" s="8"/>
      <c r="D37" s="9"/>
    </row>
    <row r="38" spans="1:13" x14ac:dyDescent="0.15">
      <c r="C38" s="8"/>
      <c r="D38" s="108" t="str">
        <f>"FCF, in "&amp;D8&amp;" "&amp;D9</f>
        <v>FCF, in billion USD</v>
      </c>
      <c r="E38" s="109"/>
      <c r="F38" s="110"/>
      <c r="G38" s="108" t="s">
        <v>129</v>
      </c>
      <c r="H38" s="109"/>
      <c r="I38" s="110"/>
    </row>
    <row r="39" spans="1:13" x14ac:dyDescent="0.15">
      <c r="A39" s="52" t="s">
        <v>38</v>
      </c>
      <c r="C39" s="17"/>
      <c r="D39" s="41" t="s">
        <v>21</v>
      </c>
      <c r="E39" s="42" t="s">
        <v>23</v>
      </c>
      <c r="F39" s="43" t="s">
        <v>22</v>
      </c>
      <c r="G39" s="41" t="s">
        <v>21</v>
      </c>
      <c r="H39" s="42" t="s">
        <v>23</v>
      </c>
      <c r="I39" s="43" t="s">
        <v>22</v>
      </c>
    </row>
    <row r="40" spans="1:13" x14ac:dyDescent="0.15">
      <c r="A40" s="48">
        <f>(12-D10+1)/12</f>
        <v>0.66666666666666663</v>
      </c>
      <c r="C40" s="44">
        <f>D11</f>
        <v>2025</v>
      </c>
      <c r="D40" s="18">
        <f>$D$12*(1+D16)</f>
        <v>0.87703999999999993</v>
      </c>
      <c r="E40" s="19">
        <f>$D$12*(1+D17)</f>
        <v>0.90473599999999998</v>
      </c>
      <c r="F40" s="20">
        <f>$D$12*(1+D18)</f>
        <v>0.8493440000000001</v>
      </c>
      <c r="G40" s="18">
        <f>D40/(1+$I$12)^$A40</f>
        <v>0.82304632041804748</v>
      </c>
      <c r="H40" s="19">
        <f t="shared" ref="H40:H49" si="1">E40/(1+$I$12)^$A40</f>
        <v>0.84903725685230158</v>
      </c>
      <c r="I40" s="20">
        <f t="shared" ref="I40:I49" si="2">F40/(1+$I$12)^$A40</f>
        <v>0.7970553839837935</v>
      </c>
    </row>
    <row r="41" spans="1:13" x14ac:dyDescent="0.15">
      <c r="A41" s="49">
        <f>A40+1</f>
        <v>1.6666666666666665</v>
      </c>
      <c r="C41" s="45">
        <f>C40+1</f>
        <v>2026</v>
      </c>
      <c r="D41" s="21">
        <f>D40*(1+E16)</f>
        <v>0.87703999999999993</v>
      </c>
      <c r="E41" s="22">
        <f>E40*(1+E17)</f>
        <v>0.94997280000000006</v>
      </c>
      <c r="F41" s="23">
        <f>F40*(1+E18)</f>
        <v>0.7983833600000001</v>
      </c>
      <c r="G41" s="21">
        <f t="shared" ref="G41:G49" si="3">D41/(1+$I$12)^$A41</f>
        <v>0.74822392765277035</v>
      </c>
      <c r="H41" s="22">
        <f t="shared" si="1"/>
        <v>0.81044465426810608</v>
      </c>
      <c r="I41" s="23">
        <f t="shared" si="2"/>
        <v>0.68112005540433251</v>
      </c>
    </row>
    <row r="42" spans="1:13" x14ac:dyDescent="0.15">
      <c r="A42" s="49">
        <f t="shared" ref="A42:A49" si="4">A41+1</f>
        <v>2.6666666666666665</v>
      </c>
      <c r="C42" s="45">
        <f t="shared" ref="C42:C48" si="5">C41+1</f>
        <v>2027</v>
      </c>
      <c r="D42" s="21">
        <f>D41*(1+F16)</f>
        <v>0.90335119999999991</v>
      </c>
      <c r="E42" s="22">
        <f>E41*(1+F17)</f>
        <v>1.0164708960000002</v>
      </c>
      <c r="F42" s="23">
        <f>F41*(1+F18)</f>
        <v>0.76644802560000003</v>
      </c>
      <c r="G42" s="21">
        <f t="shared" si="3"/>
        <v>0.70060967771123028</v>
      </c>
      <c r="H42" s="22">
        <f t="shared" si="1"/>
        <v>0.78834161824261229</v>
      </c>
      <c r="I42" s="23">
        <f t="shared" si="2"/>
        <v>0.59443204835287189</v>
      </c>
    </row>
    <row r="43" spans="1:13" x14ac:dyDescent="0.15">
      <c r="A43" s="49">
        <f t="shared" si="4"/>
        <v>3.6666666666666665</v>
      </c>
      <c r="C43" s="45">
        <f t="shared" si="5"/>
        <v>2028</v>
      </c>
      <c r="D43" s="21">
        <f>D42*(1+G16)</f>
        <v>0.93045173599999997</v>
      </c>
      <c r="E43" s="22">
        <f>E42*(1+G17)</f>
        <v>1.0876238587200002</v>
      </c>
      <c r="F43" s="23">
        <f>F42*(1+G18)</f>
        <v>0.75111906508799997</v>
      </c>
      <c r="G43" s="21">
        <f t="shared" si="3"/>
        <v>0.65602542549324294</v>
      </c>
      <c r="H43" s="22">
        <f t="shared" si="1"/>
        <v>0.76684139229054094</v>
      </c>
      <c r="I43" s="23">
        <f t="shared" si="2"/>
        <v>0.52958491580528577</v>
      </c>
    </row>
    <row r="44" spans="1:13" x14ac:dyDescent="0.15">
      <c r="A44" s="49">
        <f t="shared" si="4"/>
        <v>4.6666666666666661</v>
      </c>
      <c r="C44" s="45">
        <f t="shared" si="5"/>
        <v>2029</v>
      </c>
      <c r="D44" s="21">
        <f>D43*(1+H16)</f>
        <v>0.95836528807999999</v>
      </c>
      <c r="E44" s="22">
        <f>E43*(1+H17)</f>
        <v>1.1637575288304003</v>
      </c>
      <c r="F44" s="23">
        <f>F43*(1+H18)</f>
        <v>0.74360787443711995</v>
      </c>
      <c r="G44" s="21">
        <f t="shared" si="3"/>
        <v>0.61427835296185473</v>
      </c>
      <c r="H44" s="22">
        <f t="shared" si="1"/>
        <v>0.74592753613716267</v>
      </c>
      <c r="I44" s="23">
        <f t="shared" si="2"/>
        <v>0.47662642422475726</v>
      </c>
    </row>
    <row r="45" spans="1:13" x14ac:dyDescent="0.15">
      <c r="A45" s="49">
        <f t="shared" si="4"/>
        <v>5.6666666666666661</v>
      </c>
      <c r="C45" s="45">
        <f t="shared" si="5"/>
        <v>2030</v>
      </c>
      <c r="D45" s="21">
        <f>D44*(1+$I$16)</f>
        <v>0.96794894096079998</v>
      </c>
      <c r="E45" s="22">
        <f>E44*(1+$I$17)</f>
        <v>1.1870326794070083</v>
      </c>
      <c r="F45" s="23">
        <f>F44*(1+$I$18)</f>
        <v>0.74360787443711995</v>
      </c>
      <c r="G45" s="21">
        <f t="shared" si="3"/>
        <v>0.56401921499224839</v>
      </c>
      <c r="H45" s="22">
        <f t="shared" si="1"/>
        <v>0.69167826078173256</v>
      </c>
      <c r="I45" s="23">
        <f t="shared" si="2"/>
        <v>0.43329674929523376</v>
      </c>
      <c r="K45" s="111"/>
      <c r="L45" s="111"/>
    </row>
    <row r="46" spans="1:13" x14ac:dyDescent="0.15">
      <c r="A46" s="49">
        <f t="shared" si="4"/>
        <v>6.6666666666666661</v>
      </c>
      <c r="C46" s="45">
        <f t="shared" si="5"/>
        <v>2031</v>
      </c>
      <c r="D46" s="21">
        <f>D45*(1+$I$16)</f>
        <v>0.97762843037040803</v>
      </c>
      <c r="E46" s="22">
        <f>E45*(1+$I$17)</f>
        <v>1.2107733329951484</v>
      </c>
      <c r="F46" s="23">
        <f>F45*(1+$I$18)</f>
        <v>0.74360787443711995</v>
      </c>
      <c r="G46" s="21">
        <f t="shared" si="3"/>
        <v>0.51787218831106441</v>
      </c>
      <c r="H46" s="22">
        <f t="shared" si="1"/>
        <v>0.6413743872703338</v>
      </c>
      <c r="I46" s="23">
        <f t="shared" si="2"/>
        <v>0.39390613572293981</v>
      </c>
    </row>
    <row r="47" spans="1:13" x14ac:dyDescent="0.15">
      <c r="A47" s="49">
        <f t="shared" si="4"/>
        <v>7.6666666666666661</v>
      </c>
      <c r="C47" s="45">
        <f t="shared" si="5"/>
        <v>2032</v>
      </c>
      <c r="D47" s="21">
        <f>D46*(1+$I$16)</f>
        <v>0.98740471467411217</v>
      </c>
      <c r="E47" s="22">
        <f>E46*(1+$I$17)</f>
        <v>1.2349887996550515</v>
      </c>
      <c r="F47" s="23">
        <f>F46*(1+$I$18)</f>
        <v>0.74360787443711995</v>
      </c>
      <c r="G47" s="21">
        <f t="shared" si="3"/>
        <v>0.47550082744924999</v>
      </c>
      <c r="H47" s="22">
        <f t="shared" si="1"/>
        <v>0.59472897728703666</v>
      </c>
      <c r="I47" s="23">
        <f t="shared" si="2"/>
        <v>0.35809648702085428</v>
      </c>
    </row>
    <row r="48" spans="1:13" x14ac:dyDescent="0.15">
      <c r="A48" s="49">
        <f t="shared" si="4"/>
        <v>8.6666666666666661</v>
      </c>
      <c r="C48" s="45">
        <f t="shared" si="5"/>
        <v>2033</v>
      </c>
      <c r="D48" s="21">
        <f>D47*(1+$I$16)</f>
        <v>0.99727876182085329</v>
      </c>
      <c r="E48" s="22">
        <f>E47*(1+$I$17)</f>
        <v>1.2596885756481526</v>
      </c>
      <c r="F48" s="23">
        <f>F47*(1+$I$18)</f>
        <v>0.74360787443711995</v>
      </c>
      <c r="G48" s="21">
        <f t="shared" si="3"/>
        <v>0.43659621429431134</v>
      </c>
      <c r="H48" s="22">
        <f t="shared" si="1"/>
        <v>0.55147596075707039</v>
      </c>
      <c r="I48" s="23">
        <f t="shared" si="2"/>
        <v>0.32554226092804933</v>
      </c>
    </row>
    <row r="49" spans="1:13" x14ac:dyDescent="0.15">
      <c r="A49" s="49">
        <f t="shared" si="4"/>
        <v>9.6666666666666661</v>
      </c>
      <c r="C49" s="45">
        <f>C48+1</f>
        <v>2034</v>
      </c>
      <c r="D49" s="21">
        <f>D48*(1+$I$16)</f>
        <v>1.0072515494390619</v>
      </c>
      <c r="E49" s="22">
        <f>E48*(1+$I$17)</f>
        <v>1.2848823471611157</v>
      </c>
      <c r="F49" s="23">
        <f>F48*(1+$I$18)</f>
        <v>0.74360787443711995</v>
      </c>
      <c r="G49" s="21">
        <f t="shared" si="3"/>
        <v>0.40087470585204954</v>
      </c>
      <c r="H49" s="22">
        <f t="shared" si="1"/>
        <v>0.51136861815655621</v>
      </c>
      <c r="I49" s="23">
        <f t="shared" si="2"/>
        <v>0.29594750993459029</v>
      </c>
    </row>
    <row r="50" spans="1:13" x14ac:dyDescent="0.15">
      <c r="A50" s="49">
        <f>A49</f>
        <v>9.6666666666666661</v>
      </c>
      <c r="C50" s="46" t="str">
        <f>C49&amp;" Terminal Value"</f>
        <v>2034 Terminal Value</v>
      </c>
      <c r="D50" s="26">
        <f>(D49*(1+$D$21))/($I$12-$D$21)</f>
        <v>11.303600721482804</v>
      </c>
      <c r="E50" s="79">
        <f>(E49*(1+$D$22))/($I$12-$D$22)</f>
        <v>15.343006851394495</v>
      </c>
      <c r="F50" s="27">
        <f>(F49*(1+$D$23))/($I$12-$D$23)</f>
        <v>7.4360787443711995</v>
      </c>
      <c r="G50" s="24">
        <f>D50/(1+$I$12)^$A50</f>
        <v>4.4987050323396662</v>
      </c>
      <c r="H50" s="40">
        <f>E50/(1+$I$12)^$A50</f>
        <v>6.1063429109282881</v>
      </c>
      <c r="I50" s="25">
        <f>F50/(1+$I$12)^$A50</f>
        <v>2.9594750993459034</v>
      </c>
    </row>
    <row r="51" spans="1:13" x14ac:dyDescent="0.15">
      <c r="C51" s="78"/>
      <c r="D51" s="77"/>
      <c r="E51" s="77"/>
      <c r="F51" s="14" t="s">
        <v>131</v>
      </c>
      <c r="G51" s="30">
        <f>SUM(G40:G50)</f>
        <v>10.435751887475735</v>
      </c>
      <c r="H51" s="30">
        <f>SUM(H40:H50)</f>
        <v>13.057561572971741</v>
      </c>
      <c r="I51" s="30">
        <f>SUM(I40:I50)</f>
        <v>7.845083070018612</v>
      </c>
    </row>
    <row r="52" spans="1:13" x14ac:dyDescent="0.15">
      <c r="C52" s="78"/>
      <c r="D52" s="77"/>
      <c r="E52" s="77"/>
      <c r="F52" s="14" t="s">
        <v>132</v>
      </c>
      <c r="G52" s="30">
        <f>-$D$13</f>
        <v>-1.7</v>
      </c>
      <c r="H52" s="30">
        <f>-$D$13</f>
        <v>-1.7</v>
      </c>
      <c r="I52" s="30">
        <f>-$D$13</f>
        <v>-1.7</v>
      </c>
    </row>
    <row r="53" spans="1:13" x14ac:dyDescent="0.15">
      <c r="C53" s="78"/>
      <c r="D53" s="77"/>
      <c r="E53" s="80"/>
      <c r="F53" s="15" t="s">
        <v>133</v>
      </c>
      <c r="G53" s="50">
        <f>G25</f>
        <v>0</v>
      </c>
      <c r="H53" s="50">
        <f t="shared" ref="H53:I53" si="6">H25</f>
        <v>0</v>
      </c>
      <c r="I53" s="50">
        <f t="shared" si="6"/>
        <v>0</v>
      </c>
      <c r="J53" s="112"/>
      <c r="K53" s="112"/>
      <c r="L53" s="112"/>
    </row>
    <row r="54" spans="1:13" x14ac:dyDescent="0.15">
      <c r="C54" s="78"/>
      <c r="D54" s="77"/>
      <c r="E54" s="77"/>
      <c r="F54" s="14" t="s">
        <v>134</v>
      </c>
      <c r="G54" s="30">
        <f>SUM(G51:G53)</f>
        <v>8.7357518874757361</v>
      </c>
      <c r="H54" s="30">
        <f t="shared" ref="H54:I54" si="7">SUM(H51:H53)</f>
        <v>11.357561572971742</v>
      </c>
      <c r="I54" s="30">
        <f t="shared" si="7"/>
        <v>6.1450830700186119</v>
      </c>
    </row>
    <row r="55" spans="1:13" x14ac:dyDescent="0.15">
      <c r="D55" s="9"/>
      <c r="F55" s="9" t="s">
        <v>31</v>
      </c>
      <c r="G55" s="29">
        <f>IFERROR($I$11/G54-1,"")</f>
        <v>-0.33262756599596788</v>
      </c>
      <c r="H55" s="29">
        <f t="shared" ref="H55:I55" si="8">IFERROR($I$11/H54-1,"")</f>
        <v>-0.48668559157328328</v>
      </c>
      <c r="I55" s="29">
        <f t="shared" si="8"/>
        <v>-5.127401313025004E-2</v>
      </c>
    </row>
    <row r="56" spans="1:13" x14ac:dyDescent="0.15">
      <c r="C56" s="8"/>
      <c r="D56" s="9"/>
      <c r="F56" s="14" t="s">
        <v>32</v>
      </c>
      <c r="G56" s="30">
        <f>IFERROR($I$10/(1+G55),"")</f>
        <v>151.33978398542871</v>
      </c>
      <c r="H56" s="30">
        <f>IFERROR($I$10/(1+H55),"")</f>
        <v>196.76050066383291</v>
      </c>
      <c r="I56" s="30">
        <f>IFERROR($I$10/(1+I55),"")</f>
        <v>106.45855747373581</v>
      </c>
    </row>
    <row r="57" spans="1:13" x14ac:dyDescent="0.15">
      <c r="C57" s="8"/>
      <c r="D57" s="9"/>
    </row>
    <row r="58" spans="1:13" x14ac:dyDescent="0.15">
      <c r="C58" s="8"/>
      <c r="D58" s="9"/>
      <c r="G58" s="14" t="s">
        <v>40</v>
      </c>
      <c r="H58" s="50">
        <f>G56*D26+H56*D27+I56*D28</f>
        <v>151.44768201877096</v>
      </c>
      <c r="I58" s="51" t="str">
        <f>IFERROR(ROUND(I10/H58,1)&amp;"x","")</f>
        <v>0,7x</v>
      </c>
    </row>
    <row r="59" spans="1:13" x14ac:dyDescent="0.15">
      <c r="C59" s="8"/>
      <c r="D59" s="9"/>
      <c r="G59" s="14" t="s">
        <v>33</v>
      </c>
      <c r="H59" s="94" t="str">
        <f>IF(I55&lt;=0,"STRONG BUY",IF(G55&lt;=0,"BUY",IF(H55&gt;0,"SELL","HOLD")))</f>
        <v>STRONG BUY</v>
      </c>
      <c r="I59" s="95"/>
    </row>
    <row r="60" spans="1:13" x14ac:dyDescent="0.15">
      <c r="C60" s="8"/>
      <c r="D60" s="9"/>
      <c r="I60" s="9"/>
    </row>
    <row r="62" spans="1:13" x14ac:dyDescent="0.15">
      <c r="C62" s="31" t="s">
        <v>152</v>
      </c>
      <c r="D62" s="32"/>
      <c r="E62" s="33"/>
      <c r="F62" s="33"/>
      <c r="G62" s="33"/>
      <c r="H62" s="33"/>
      <c r="I62" s="33"/>
      <c r="J62" s="33"/>
      <c r="K62" s="33"/>
      <c r="L62" s="33"/>
      <c r="M62" s="33"/>
    </row>
    <row r="63" spans="1:13" x14ac:dyDescent="0.15">
      <c r="C63" s="11"/>
    </row>
    <row r="64" spans="1:13" x14ac:dyDescent="0.15">
      <c r="C64" s="13" t="s">
        <v>58</v>
      </c>
      <c r="D64" s="15"/>
      <c r="E64" s="59" t="s">
        <v>55</v>
      </c>
      <c r="F64" s="59" t="s">
        <v>53</v>
      </c>
      <c r="H64" s="57" t="s">
        <v>51</v>
      </c>
      <c r="I64" s="58"/>
      <c r="J64" s="58"/>
      <c r="K64" s="58"/>
      <c r="L64" s="58"/>
    </row>
    <row r="65" spans="3:12" x14ac:dyDescent="0.15">
      <c r="C65" s="7" t="s">
        <v>5</v>
      </c>
      <c r="D65" s="63">
        <f>(1.1-0.44)/0.705</f>
        <v>0.93617021276595769</v>
      </c>
      <c r="E65" s="60" t="s">
        <v>56</v>
      </c>
      <c r="F65" s="16">
        <f>IF(D65="",0,IF(D65&gt;=1,1,0))</f>
        <v>0</v>
      </c>
      <c r="H65" s="56" t="s">
        <v>50</v>
      </c>
    </row>
    <row r="66" spans="3:12" x14ac:dyDescent="0.15">
      <c r="C66" s="7" t="s">
        <v>6</v>
      </c>
      <c r="D66" s="37">
        <f>1.1/0.705</f>
        <v>1.5602836879432627</v>
      </c>
      <c r="E66" s="60" t="s">
        <v>56</v>
      </c>
      <c r="F66" s="16">
        <f>IF(D66="",0,IF(D66&gt;=1,1,0))</f>
        <v>1</v>
      </c>
      <c r="H66" s="56" t="s">
        <v>52</v>
      </c>
    </row>
    <row r="67" spans="3:12" x14ac:dyDescent="0.15">
      <c r="C67" s="7" t="s">
        <v>54</v>
      </c>
      <c r="D67" s="62">
        <v>0.67</v>
      </c>
      <c r="E67" s="60" t="s">
        <v>57</v>
      </c>
      <c r="F67" s="16">
        <f>IF(D67="",0,IF(D67&lt;=0.4,1,0))</f>
        <v>0</v>
      </c>
      <c r="H67" s="56" t="s">
        <v>125</v>
      </c>
    </row>
    <row r="68" spans="3:12" x14ac:dyDescent="0.15">
      <c r="C68" s="7" t="s">
        <v>59</v>
      </c>
      <c r="D68" s="62">
        <v>0.64</v>
      </c>
      <c r="E68" s="60" t="s">
        <v>103</v>
      </c>
      <c r="F68" s="16">
        <f>IF(D68="",0,IF(D68&gt;=0.2,1,0))</f>
        <v>1</v>
      </c>
      <c r="H68" s="56" t="s">
        <v>102</v>
      </c>
    </row>
    <row r="69" spans="3:12" x14ac:dyDescent="0.15">
      <c r="C69" s="7" t="s">
        <v>60</v>
      </c>
      <c r="D69" s="62">
        <v>10.4</v>
      </c>
      <c r="E69" s="60" t="s">
        <v>104</v>
      </c>
      <c r="F69" s="16">
        <f>IF(D69="",0,IF(D69&gt;=3,1,0))</f>
        <v>1</v>
      </c>
      <c r="H69" s="56" t="s">
        <v>101</v>
      </c>
    </row>
    <row r="70" spans="3:12" x14ac:dyDescent="0.15">
      <c r="F70" s="64">
        <f>SUM(F65:F69)</f>
        <v>3</v>
      </c>
      <c r="G70" s="53" t="s">
        <v>69</v>
      </c>
    </row>
    <row r="72" spans="3:12" x14ac:dyDescent="0.15">
      <c r="C72" s="13" t="s">
        <v>10</v>
      </c>
      <c r="D72" s="15"/>
      <c r="E72" s="59" t="s">
        <v>55</v>
      </c>
      <c r="F72" s="59" t="s">
        <v>53</v>
      </c>
      <c r="H72" s="57" t="s">
        <v>51</v>
      </c>
      <c r="I72" s="58"/>
      <c r="J72" s="58"/>
      <c r="K72" s="58"/>
      <c r="L72" s="58"/>
    </row>
    <row r="73" spans="3:12" x14ac:dyDescent="0.15">
      <c r="C73" s="7" t="s">
        <v>0</v>
      </c>
      <c r="D73" s="39">
        <v>0.59250000000000003</v>
      </c>
      <c r="E73" s="60" t="s">
        <v>61</v>
      </c>
      <c r="F73" s="16">
        <f>IF(D73="",0,IF(D73&gt;0.4,1,0))</f>
        <v>1</v>
      </c>
      <c r="H73" s="56" t="s">
        <v>66</v>
      </c>
    </row>
    <row r="74" spans="3:12" x14ac:dyDescent="0.15">
      <c r="C74" s="7" t="s">
        <v>62</v>
      </c>
      <c r="D74" s="39">
        <v>0.2316</v>
      </c>
      <c r="E74" s="60" t="s">
        <v>100</v>
      </c>
      <c r="F74" s="16">
        <f>IF(D74="",0,IF(D74&gt;0.15,1,0))</f>
        <v>1</v>
      </c>
      <c r="H74" s="56" t="s">
        <v>65</v>
      </c>
    </row>
    <row r="75" spans="3:12" x14ac:dyDescent="0.15">
      <c r="C75" s="7" t="s">
        <v>82</v>
      </c>
      <c r="D75" s="37" t="s">
        <v>64</v>
      </c>
      <c r="E75" s="16" t="s">
        <v>67</v>
      </c>
      <c r="F75" s="16">
        <f>IF(AND(F74=1,D75="FLAT"),1,IF(D75="UP",1,0))</f>
        <v>1</v>
      </c>
      <c r="H75" s="56" t="s">
        <v>71</v>
      </c>
    </row>
    <row r="76" spans="3:12" x14ac:dyDescent="0.15">
      <c r="C76" s="7" t="s">
        <v>154</v>
      </c>
      <c r="D76" s="39">
        <f>(950/119)^(1/5)-1</f>
        <v>0.51507917496174516</v>
      </c>
      <c r="E76" s="60" t="s">
        <v>63</v>
      </c>
      <c r="F76" s="16">
        <f>IF(D76="",0,IF(D76&gt;0.1,1,0))</f>
        <v>1</v>
      </c>
      <c r="H76" s="56" t="s">
        <v>68</v>
      </c>
    </row>
    <row r="77" spans="3:12" x14ac:dyDescent="0.15">
      <c r="C77" s="7" t="s">
        <v>153</v>
      </c>
      <c r="D77" s="39">
        <v>0.17</v>
      </c>
      <c r="E77" s="60" t="s">
        <v>155</v>
      </c>
      <c r="F77" s="16">
        <f>IF(D77&gt;=10%,1,0)</f>
        <v>1</v>
      </c>
      <c r="H77" s="56" t="s">
        <v>156</v>
      </c>
    </row>
    <row r="78" spans="3:12" x14ac:dyDescent="0.15">
      <c r="C78" s="65"/>
      <c r="F78" s="64">
        <f>SUM(F73:F77)</f>
        <v>5</v>
      </c>
      <c r="G78" s="53" t="s">
        <v>69</v>
      </c>
    </row>
    <row r="80" spans="3:12" x14ac:dyDescent="0.15">
      <c r="C80" s="13" t="s">
        <v>70</v>
      </c>
      <c r="D80" s="15"/>
      <c r="E80" s="59" t="s">
        <v>55</v>
      </c>
      <c r="F80" s="59" t="s">
        <v>53</v>
      </c>
    </row>
    <row r="81" spans="3:9" x14ac:dyDescent="0.15">
      <c r="C81" s="7" t="s">
        <v>72</v>
      </c>
      <c r="D81" s="39" t="s">
        <v>122</v>
      </c>
      <c r="E81" s="60" t="s">
        <v>73</v>
      </c>
      <c r="F81" s="16">
        <f>IF(D81="",0,IF(D81&gt;0.05,1,0))</f>
        <v>1</v>
      </c>
      <c r="H81" s="56" t="s">
        <v>99</v>
      </c>
    </row>
    <row r="82" spans="3:9" x14ac:dyDescent="0.15">
      <c r="C82" s="7" t="s">
        <v>75</v>
      </c>
      <c r="D82" s="39" t="s">
        <v>92</v>
      </c>
      <c r="E82" s="16" t="s">
        <v>83</v>
      </c>
      <c r="F82" s="16">
        <f>IF(OR(D82="TOP3",D82="LEADER"),1,0)</f>
        <v>1</v>
      </c>
      <c r="H82" s="56" t="s">
        <v>91</v>
      </c>
    </row>
    <row r="83" spans="3:9" x14ac:dyDescent="0.15">
      <c r="C83" s="7" t="s">
        <v>74</v>
      </c>
      <c r="D83" s="37" t="s">
        <v>89</v>
      </c>
      <c r="E83" s="60" t="s">
        <v>84</v>
      </c>
      <c r="F83" s="16">
        <f>IF(D83="STRONG",1,0)</f>
        <v>0</v>
      </c>
      <c r="H83" s="56" t="s">
        <v>90</v>
      </c>
    </row>
    <row r="84" spans="3:9" x14ac:dyDescent="0.15">
      <c r="C84" s="7" t="s">
        <v>85</v>
      </c>
      <c r="D84" s="76" t="s">
        <v>108</v>
      </c>
      <c r="E84" s="16" t="s">
        <v>87</v>
      </c>
      <c r="F84" s="16">
        <f>IF(OR(D84="MEDIUM",D84="LOW"),1,0)</f>
        <v>1</v>
      </c>
      <c r="H84" s="56" t="s">
        <v>97</v>
      </c>
    </row>
    <row r="85" spans="3:9" x14ac:dyDescent="0.15">
      <c r="C85" s="7" t="s">
        <v>86</v>
      </c>
      <c r="D85" s="39" t="s">
        <v>88</v>
      </c>
      <c r="E85" s="16" t="s">
        <v>87</v>
      </c>
      <c r="F85" s="16">
        <f>IF(OR(D85="MEDIUM",D85="LOW"),1,0)</f>
        <v>1</v>
      </c>
      <c r="H85" s="56" t="s">
        <v>98</v>
      </c>
    </row>
    <row r="86" spans="3:9" x14ac:dyDescent="0.15">
      <c r="F86" s="64">
        <f>SUM(F81:F85)</f>
        <v>4</v>
      </c>
      <c r="G86" s="53" t="s">
        <v>69</v>
      </c>
    </row>
    <row r="88" spans="3:9" x14ac:dyDescent="0.15">
      <c r="C88" s="13" t="s">
        <v>76</v>
      </c>
      <c r="D88" s="15"/>
      <c r="E88" s="59" t="s">
        <v>55</v>
      </c>
      <c r="F88" s="59" t="s">
        <v>53</v>
      </c>
    </row>
    <row r="89" spans="3:9" x14ac:dyDescent="0.15">
      <c r="C89" s="7" t="s">
        <v>79</v>
      </c>
      <c r="D89" s="61">
        <v>8</v>
      </c>
      <c r="E89" s="60" t="s">
        <v>77</v>
      </c>
      <c r="F89" s="16">
        <f>IF(D89="",0,IF(D89&gt;=3,1,0))</f>
        <v>1</v>
      </c>
      <c r="H89" s="56" t="s">
        <v>111</v>
      </c>
    </row>
    <row r="90" spans="3:9" x14ac:dyDescent="0.15">
      <c r="C90" s="7" t="s">
        <v>78</v>
      </c>
      <c r="D90" s="37" t="s">
        <v>106</v>
      </c>
      <c r="E90" s="16" t="s">
        <v>105</v>
      </c>
      <c r="F90" s="16">
        <f>IF(OR(D90="&gt;0.1%",D90="FOUNDER"),1,0)</f>
        <v>1</v>
      </c>
      <c r="H90" s="56" t="s">
        <v>96</v>
      </c>
    </row>
    <row r="91" spans="3:9" x14ac:dyDescent="0.15">
      <c r="C91" s="7" t="s">
        <v>157</v>
      </c>
      <c r="D91" s="61" t="s">
        <v>158</v>
      </c>
      <c r="E91" s="60" t="s">
        <v>158</v>
      </c>
      <c r="F91" s="16">
        <f>IF(D91="",0,IF(D91&gt;=3,1,0))</f>
        <v>1</v>
      </c>
      <c r="H91" s="56" t="s">
        <v>159</v>
      </c>
    </row>
    <row r="92" spans="3:9" x14ac:dyDescent="0.15">
      <c r="C92" s="7" t="s">
        <v>93</v>
      </c>
      <c r="D92" s="37" t="s">
        <v>107</v>
      </c>
      <c r="E92" s="16" t="s">
        <v>95</v>
      </c>
      <c r="F92" s="16">
        <f>IF(OR(D92="NET BUY",D92="BALANCED"),1,0)</f>
        <v>0</v>
      </c>
      <c r="H92" s="56" t="s">
        <v>110</v>
      </c>
    </row>
    <row r="93" spans="3:9" x14ac:dyDescent="0.15">
      <c r="C93" s="7" t="s">
        <v>94</v>
      </c>
      <c r="D93" s="37" t="s">
        <v>107</v>
      </c>
      <c r="E93" s="16" t="s">
        <v>95</v>
      </c>
      <c r="F93" s="16">
        <f>IF(OR(D93="NET BUY",D93="BALANCED"),1,0)</f>
        <v>0</v>
      </c>
      <c r="H93" s="56" t="s">
        <v>109</v>
      </c>
    </row>
    <row r="94" spans="3:9" x14ac:dyDescent="0.15">
      <c r="F94" s="64">
        <f>SUM(F89:F93)</f>
        <v>3</v>
      </c>
      <c r="G94" s="53" t="s">
        <v>69</v>
      </c>
    </row>
    <row r="96" spans="3:9" x14ac:dyDescent="0.15">
      <c r="C96" s="66" t="s">
        <v>80</v>
      </c>
      <c r="D96" s="67"/>
      <c r="E96" s="67"/>
      <c r="F96" s="68">
        <f>F70+F78+F86+F94</f>
        <v>15</v>
      </c>
      <c r="G96" s="53" t="s">
        <v>81</v>
      </c>
      <c r="H96" s="94" t="str">
        <f>IF(F96&gt;=15,"LOW RISK",IF(F96&gt;=12,"MODERATE RISK",IF(F96&gt;=10,"SOME RISK",IF(F96&gt;=8,"INCREASED RISK","HIGH RISK"))))</f>
        <v>LOW RISK</v>
      </c>
      <c r="I96" s="95"/>
    </row>
    <row r="97" spans="3:13" ht="15" thickBot="1" x14ac:dyDescent="0.2"/>
    <row r="98" spans="3:13" ht="17" customHeight="1" thickTop="1" x14ac:dyDescent="0.15">
      <c r="C98" s="96" t="s">
        <v>114</v>
      </c>
      <c r="D98" s="96"/>
      <c r="E98" s="96"/>
      <c r="F98" s="96"/>
      <c r="G98" s="96"/>
      <c r="H98" s="96"/>
      <c r="I98" s="96"/>
      <c r="J98" s="96"/>
      <c r="K98" s="96"/>
      <c r="L98" s="96"/>
      <c r="M98" s="96"/>
    </row>
    <row r="99" spans="3:13" x14ac:dyDescent="0.15">
      <c r="C99" s="97" t="s">
        <v>123</v>
      </c>
      <c r="D99" s="97"/>
      <c r="E99" s="97"/>
      <c r="F99" s="97"/>
      <c r="G99" s="97"/>
      <c r="H99" s="97"/>
      <c r="I99" s="97"/>
      <c r="J99" s="97"/>
      <c r="K99" s="97"/>
      <c r="L99" s="97"/>
      <c r="M99" s="97"/>
    </row>
  </sheetData>
  <mergeCells count="22">
    <mergeCell ref="H59:I59"/>
    <mergeCell ref="H96:I96"/>
    <mergeCell ref="C98:M98"/>
    <mergeCell ref="C99:M99"/>
    <mergeCell ref="D38:F38"/>
    <mergeCell ref="G38:I38"/>
    <mergeCell ref="J53:L53"/>
    <mergeCell ref="C30:D30"/>
    <mergeCell ref="K45:L45"/>
    <mergeCell ref="I7:J7"/>
    <mergeCell ref="I8:J8"/>
    <mergeCell ref="I9:J9"/>
    <mergeCell ref="J15:L15"/>
    <mergeCell ref="J16:L16"/>
    <mergeCell ref="J17:L17"/>
    <mergeCell ref="J18:L18"/>
    <mergeCell ref="F28:L34"/>
    <mergeCell ref="J21:L21"/>
    <mergeCell ref="J22:L22"/>
    <mergeCell ref="J23:L23"/>
    <mergeCell ref="J24:L24"/>
    <mergeCell ref="J25:L25"/>
  </mergeCells>
  <conditionalFormatting sqref="D5 D27:D28">
    <cfRule type="containsText" dxfId="27" priority="28" operator="containsText" text="undervalued">
      <formula>NOT(ISERROR(SEARCH("undervalued",D5)))</formula>
    </cfRule>
  </conditionalFormatting>
  <conditionalFormatting sqref="D8:D20 I12 E15:I15 E16 E17:I18 D24:D27 G38:G50 D40:F49 H40:I49">
    <cfRule type="containsText" dxfId="26" priority="32" operator="containsText" text="undervalued">
      <formula>NOT(ISERROR(SEARCH("undervalued",D8)))</formula>
    </cfRule>
  </conditionalFormatting>
  <conditionalFormatting sqref="D24:D27 E16 D8:D20 I12 E15:I15 E17:I18 G38:G50 D40:F49 H40:I49">
    <cfRule type="containsText" dxfId="25" priority="31" operator="containsText" text="overvalued">
      <formula>NOT(ISERROR(SEARCH("overvalued",D8)))</formula>
    </cfRule>
  </conditionalFormatting>
  <conditionalFormatting sqref="D27:D28 D5">
    <cfRule type="containsText" dxfId="24" priority="27" operator="containsText" text="overvalued">
      <formula>NOT(ISERROR(SEARCH("overvalued",D5)))</formula>
    </cfRule>
  </conditionalFormatting>
  <conditionalFormatting sqref="D28">
    <cfRule type="containsText" dxfId="23" priority="10" operator="containsText" text="undervalued">
      <formula>NOT(ISERROR(SEARCH("undervalued",D28)))</formula>
    </cfRule>
    <cfRule type="containsText" dxfId="22" priority="9" operator="containsText" text="overvalued">
      <formula>NOT(ISERROR(SEARCH("overvalued",D28)))</formula>
    </cfRule>
  </conditionalFormatting>
  <conditionalFormatting sqref="D37:D39">
    <cfRule type="containsText" dxfId="21" priority="26" operator="containsText" text="undervalued">
      <formula>NOT(ISERROR(SEARCH("undervalued",D37)))</formula>
    </cfRule>
    <cfRule type="containsText" dxfId="20" priority="25" operator="containsText" text="overvalued">
      <formula>NOT(ISERROR(SEARCH("overvalued",D37)))</formula>
    </cfRule>
  </conditionalFormatting>
  <conditionalFormatting sqref="D50:D60">
    <cfRule type="containsText" dxfId="19" priority="5" operator="containsText" text="overvalued">
      <formula>NOT(ISERROR(SEARCH("overvalued",D50)))</formula>
    </cfRule>
    <cfRule type="containsText" dxfId="18" priority="6" operator="containsText" text="undervalued">
      <formula>NOT(ISERROR(SEARCH("undervalued",D50)))</formula>
    </cfRule>
  </conditionalFormatting>
  <conditionalFormatting sqref="E50">
    <cfRule type="containsText" dxfId="17" priority="1" operator="containsText" text="overvalued">
      <formula>NOT(ISERROR(SEARCH("overvalued",E50)))</formula>
    </cfRule>
    <cfRule type="containsText" dxfId="16" priority="2" operator="containsText" text="undervalued">
      <formula>NOT(ISERROR(SEARCH("undervalued",E50)))</formula>
    </cfRule>
  </conditionalFormatting>
  <conditionalFormatting sqref="E16:F16">
    <cfRule type="containsText" dxfId="15" priority="8" operator="containsText" text="undervalued">
      <formula>NOT(ISERROR(SEARCH("undervalued",E16)))</formula>
    </cfRule>
    <cfRule type="containsText" dxfId="14" priority="7" operator="containsText" text="overvalued">
      <formula>NOT(ISERROR(SEARCH("overvalued",E16)))</formula>
    </cfRule>
  </conditionalFormatting>
  <conditionalFormatting sqref="E51:F54">
    <cfRule type="containsText" dxfId="13" priority="3" operator="containsText" text="overvalued">
      <formula>NOT(ISERROR(SEARCH("overvalued",E51)))</formula>
    </cfRule>
    <cfRule type="containsText" dxfId="12" priority="4" operator="containsText" text="undervalued">
      <formula>NOT(ISERROR(SEARCH("undervalued",E51)))</formula>
    </cfRule>
  </conditionalFormatting>
  <conditionalFormatting sqref="G55:I55">
    <cfRule type="expression" dxfId="11" priority="22">
      <formula>AND(G55&gt;-0.25,G55&lt;0.25)</formula>
    </cfRule>
    <cfRule type="expression" dxfId="10" priority="23">
      <formula>G55&lt;=-0.25</formula>
    </cfRule>
    <cfRule type="expression" dxfId="9" priority="24">
      <formula>G55&gt;=0.25</formula>
    </cfRule>
  </conditionalFormatting>
  <conditionalFormatting sqref="H59">
    <cfRule type="expression" dxfId="8" priority="19">
      <formula>$H$59="BUY"</formula>
    </cfRule>
    <cfRule type="expression" dxfId="7" priority="21">
      <formula>$H$59="SELL"</formula>
    </cfRule>
    <cfRule type="expression" dxfId="6" priority="18">
      <formula>$H$59="STRONG BUY"</formula>
    </cfRule>
    <cfRule type="expression" dxfId="5" priority="20">
      <formula>$H$59="HOLD"</formula>
    </cfRule>
  </conditionalFormatting>
  <conditionalFormatting sqref="H96">
    <cfRule type="expression" dxfId="4" priority="14">
      <formula>$H$96="MODERATE RISK"</formula>
    </cfRule>
    <cfRule type="expression" dxfId="3" priority="13">
      <formula>$H$96="LOW RISK"</formula>
    </cfRule>
    <cfRule type="expression" dxfId="2" priority="16">
      <formula>$H$96="INCREASED RISK"</formula>
    </cfRule>
    <cfRule type="expression" dxfId="1" priority="15">
      <formula>$H$96="SOME RISK"</formula>
    </cfRule>
    <cfRule type="expression" dxfId="0" priority="17">
      <formula>$H$96="HIGH RISK"</formula>
    </cfRule>
  </conditionalFormatting>
  <dataValidations count="11">
    <dataValidation type="list" allowBlank="1" showInputMessage="1" showErrorMessage="1" sqref="D11" xr:uid="{7228F284-D75B-3F40-A636-1D8850D8FF8A}">
      <formula1>L_YEAR</formula1>
    </dataValidation>
    <dataValidation type="list" allowBlank="1" showInputMessage="1" showErrorMessage="1" sqref="D10" xr:uid="{C49FCA6F-93D6-3642-8723-51C995628684}">
      <formula1>L_MONTH</formula1>
    </dataValidation>
    <dataValidation type="list" allowBlank="1" showInputMessage="1" showErrorMessage="1" sqref="D75" xr:uid="{11E876B1-8150-3047-A6E8-F992D8FF5970}">
      <formula1>"DOWN,FLAT,UP"</formula1>
    </dataValidation>
    <dataValidation type="list" allowBlank="1" showInputMessage="1" showErrorMessage="1" sqref="D90" xr:uid="{6884B1D7-91D8-DB4B-BAED-F804BF358BC5}">
      <formula1>"&lt;0.1%,&gt;0.1%,FOUNDER"</formula1>
    </dataValidation>
    <dataValidation type="list" allowBlank="1" showInputMessage="1" showErrorMessage="1" sqref="D84:D85" xr:uid="{ABDEC400-7709-8240-A252-85F0BF5372E2}">
      <formula1>"LOW,MEDIUM,HIGH"</formula1>
    </dataValidation>
    <dataValidation type="list" allowBlank="1" showInputMessage="1" showErrorMessage="1" sqref="D83" xr:uid="{9CA428CD-CDD0-F848-841D-D4D895F98DA5}">
      <formula1>"STRONG,MODERATE,WEAK"</formula1>
    </dataValidation>
    <dataValidation type="list" allowBlank="1" showInputMessage="1" showErrorMessage="1" sqref="D82" xr:uid="{32F6AAAF-BE83-B64A-9D3D-DFC9854A479C}">
      <formula1>"LEADER,TOP3,FOLLOWER,NEWCOMER"</formula1>
    </dataValidation>
    <dataValidation type="list" allowBlank="1" showInputMessage="1" showErrorMessage="1" sqref="D92:D93" xr:uid="{C38BE27B-5F4C-3244-A909-28EF9E0EEC78}">
      <formula1>"NET BUY,BALANCED,NET SELL"</formula1>
    </dataValidation>
    <dataValidation type="list" allowBlank="1" showInputMessage="1" showErrorMessage="1" sqref="D31" xr:uid="{85DE4F2A-5D4B-BE44-B00C-9CEC3ECB64FC}">
      <formula1>"STRONG BUY,BUY,HOLD,UNDERPERFORM,SELL"</formula1>
    </dataValidation>
    <dataValidation type="list" allowBlank="1" showInputMessage="1" showErrorMessage="1" sqref="D8" xr:uid="{4303E713-7C5A-104A-92EE-89022D0A7516}">
      <formula1>"million,billion"</formula1>
    </dataValidation>
    <dataValidation type="list" allowBlank="1" showInputMessage="1" showErrorMessage="1" sqref="D91" xr:uid="{89FFA058-3260-1C47-AD7D-3A945001A5FD}">
      <formula1>"Yes,No"</formula1>
    </dataValidation>
  </dataValidations>
  <pageMargins left="0.70866141732283472" right="0.70866141732283472" top="0.78740157480314965" bottom="0.78740157480314965" header="0.31496062992125984" footer="0.31496062992125984"/>
  <pageSetup paperSize="9" scale="55" orientation="portrait" r:id="rId1"/>
  <ignoredErrors>
    <ignoredError sqref="F9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4A8F8-26DE-5940-8399-5C01D1DEEED7}">
  <dimension ref="B3:I15"/>
  <sheetViews>
    <sheetView workbookViewId="0">
      <selection activeCell="J17" sqref="J17"/>
    </sheetView>
  </sheetViews>
  <sheetFormatPr baseColWidth="10" defaultRowHeight="16" x14ac:dyDescent="0.2"/>
  <cols>
    <col min="2" max="2" width="18.5" customWidth="1"/>
    <col min="3" max="5" width="12.83203125" style="2" customWidth="1"/>
    <col min="7" max="7" width="10.83203125" style="2"/>
  </cols>
  <sheetData>
    <row r="3" spans="2:9" x14ac:dyDescent="0.2">
      <c r="B3" s="1" t="s">
        <v>11</v>
      </c>
      <c r="C3" s="47" t="s">
        <v>37</v>
      </c>
      <c r="D3" s="47" t="s">
        <v>39</v>
      </c>
      <c r="E3" s="47" t="s">
        <v>2</v>
      </c>
      <c r="H3" s="1" t="s">
        <v>46</v>
      </c>
      <c r="I3" s="1"/>
    </row>
    <row r="4" spans="2:9" x14ac:dyDescent="0.2">
      <c r="B4" t="s">
        <v>24</v>
      </c>
      <c r="C4" s="2">
        <v>1</v>
      </c>
      <c r="D4" s="4">
        <v>1</v>
      </c>
      <c r="E4" s="2">
        <v>2021</v>
      </c>
      <c r="G4" s="2" t="s">
        <v>45</v>
      </c>
      <c r="H4" s="3">
        <f>-30%</f>
        <v>-0.3</v>
      </c>
      <c r="I4" t="s">
        <v>49</v>
      </c>
    </row>
    <row r="5" spans="2:9" x14ac:dyDescent="0.2">
      <c r="B5" t="s">
        <v>8</v>
      </c>
      <c r="C5" s="2">
        <v>2</v>
      </c>
      <c r="D5" s="4">
        <v>1</v>
      </c>
      <c r="E5" s="2">
        <f>E4+1</f>
        <v>2022</v>
      </c>
      <c r="G5" s="2" t="s">
        <v>45</v>
      </c>
      <c r="H5" s="3">
        <f>-10%</f>
        <v>-0.1</v>
      </c>
      <c r="I5" t="s">
        <v>48</v>
      </c>
    </row>
    <row r="6" spans="2:9" x14ac:dyDescent="0.2">
      <c r="B6" t="s">
        <v>25</v>
      </c>
      <c r="C6" s="2">
        <v>3</v>
      </c>
      <c r="D6" s="4">
        <v>0.75</v>
      </c>
      <c r="E6" s="2">
        <f t="shared" ref="E6:E15" si="0">E5+1</f>
        <v>2023</v>
      </c>
      <c r="G6" s="2" t="s">
        <v>45</v>
      </c>
      <c r="H6" s="3">
        <v>0.1</v>
      </c>
      <c r="I6" t="s">
        <v>42</v>
      </c>
    </row>
    <row r="7" spans="2:9" x14ac:dyDescent="0.2">
      <c r="B7" t="s">
        <v>9</v>
      </c>
      <c r="C7" s="2">
        <v>4</v>
      </c>
      <c r="D7" s="4">
        <v>0.75</v>
      </c>
      <c r="E7" s="2">
        <f t="shared" si="0"/>
        <v>2024</v>
      </c>
      <c r="G7" s="2" t="s">
        <v>45</v>
      </c>
      <c r="H7" s="3">
        <v>0.3</v>
      </c>
      <c r="I7" t="s">
        <v>44</v>
      </c>
    </row>
    <row r="8" spans="2:9" x14ac:dyDescent="0.2">
      <c r="B8" t="s">
        <v>12</v>
      </c>
      <c r="C8" s="2">
        <v>5</v>
      </c>
      <c r="D8" s="4">
        <v>0.75</v>
      </c>
      <c r="E8" s="2">
        <f t="shared" si="0"/>
        <v>2025</v>
      </c>
      <c r="G8" s="2" t="s">
        <v>47</v>
      </c>
      <c r="H8" s="3">
        <v>0.3</v>
      </c>
      <c r="I8" t="s">
        <v>43</v>
      </c>
    </row>
    <row r="9" spans="2:9" x14ac:dyDescent="0.2">
      <c r="C9" s="2">
        <v>6</v>
      </c>
      <c r="D9" s="4">
        <v>0.5</v>
      </c>
      <c r="E9" s="2">
        <f t="shared" si="0"/>
        <v>2026</v>
      </c>
    </row>
    <row r="10" spans="2:9" x14ac:dyDescent="0.2">
      <c r="C10" s="2">
        <v>7</v>
      </c>
      <c r="D10" s="4">
        <v>0.5</v>
      </c>
      <c r="E10" s="2">
        <f t="shared" si="0"/>
        <v>2027</v>
      </c>
    </row>
    <row r="11" spans="2:9" x14ac:dyDescent="0.2">
      <c r="C11" s="2">
        <v>8</v>
      </c>
      <c r="D11" s="4">
        <v>0.5</v>
      </c>
      <c r="E11" s="2">
        <f t="shared" si="0"/>
        <v>2028</v>
      </c>
    </row>
    <row r="12" spans="2:9" x14ac:dyDescent="0.2">
      <c r="C12" s="2">
        <v>9</v>
      </c>
      <c r="D12" s="4">
        <v>0.25</v>
      </c>
      <c r="E12" s="2">
        <f t="shared" si="0"/>
        <v>2029</v>
      </c>
    </row>
    <row r="13" spans="2:9" x14ac:dyDescent="0.2">
      <c r="C13" s="2">
        <v>10</v>
      </c>
      <c r="D13" s="4">
        <v>0.25</v>
      </c>
      <c r="E13" s="2">
        <f t="shared" si="0"/>
        <v>2030</v>
      </c>
    </row>
    <row r="14" spans="2:9" x14ac:dyDescent="0.2">
      <c r="C14" s="2">
        <v>11</v>
      </c>
      <c r="D14" s="4">
        <v>0.25</v>
      </c>
      <c r="E14" s="2">
        <f t="shared" si="0"/>
        <v>2031</v>
      </c>
    </row>
    <row r="15" spans="2:9" x14ac:dyDescent="0.2">
      <c r="C15" s="2">
        <v>12</v>
      </c>
      <c r="D15" s="4">
        <v>0</v>
      </c>
      <c r="E15" s="2">
        <f t="shared" si="0"/>
        <v>2032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TEMPLATE DCF+RA</vt:lpstr>
      <vt:lpstr>CROX (Beispiel)</vt:lpstr>
      <vt:lpstr>Lists</vt:lpstr>
      <vt:lpstr>'CROX (Beispiel)'!L_DIV_START_YR</vt:lpstr>
      <vt:lpstr>'TEMPLATE DCF+RA'!L_DIV_START_YR</vt:lpstr>
      <vt:lpstr>L_MONTH</vt:lpstr>
      <vt:lpstr>L_VAL_METRIC</vt:lpstr>
      <vt:lpstr>L_YEAR</vt:lpstr>
      <vt:lpstr>'CROX (Beispiel)'!Print_Area</vt:lpstr>
      <vt:lpstr>'TEMPLATE DCF+RA'!Print_Area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2021-11-23T23:45:16Z</cp:lastPrinted>
  <dcterms:created xsi:type="dcterms:W3CDTF">2021-10-21T16:45:32Z</dcterms:created>
  <dcterms:modified xsi:type="dcterms:W3CDTF">2025-06-04T21:32:38Z</dcterms:modified>
</cp:coreProperties>
</file>