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gebauer/Documents/SAG/Projekt CFMO/Tools/CFMO Free Downloads/"/>
    </mc:Choice>
  </mc:AlternateContent>
  <xr:revisionPtr revIDLastSave="0" documentId="13_ncr:1_{F189A600-1B6C-AC4C-869D-365DF4A8D9F6}" xr6:coauthVersionLast="47" xr6:coauthVersionMax="47" xr10:uidLastSave="{00000000-0000-0000-0000-000000000000}"/>
  <bookViews>
    <workbookView xWindow="0" yWindow="460" windowWidth="38400" windowHeight="19800" activeTab="1" xr2:uid="{DF6D6243-B0E5-3F45-813B-321B28DBA53C}"/>
  </bookViews>
  <sheets>
    <sheet name="CFMO- Anleitung" sheetId="7" r:id="rId1"/>
    <sheet name="CFMO- Trading Log" sheetId="1" r:id="rId2"/>
    <sheet name="Berichte &gt;&gt;" sheetId="8" r:id="rId3"/>
    <sheet name="1) Aktueller Kapitaleinsatz" sheetId="6" r:id="rId4"/>
    <sheet name="2) Realisierter G&amp;V Pro Aktie" sheetId="9" r:id="rId5"/>
    <sheet name="3) Realisierter G&amp;V Pro Monat" sheetId="4" r:id="rId6"/>
    <sheet name="4) Steuerübersicht" sheetId="5" r:id="rId7"/>
    <sheet name="Listen" sheetId="2" state="hidden" r:id="rId8"/>
  </sheets>
  <definedNames>
    <definedName name="_xlnm._FilterDatabase" localSheetId="1" hidden="1">'CFMO- Trading Log'!$C$11:$X$64</definedName>
    <definedName name="_xlnm.Print_Area" localSheetId="3">'1) Aktueller Kapitaleinsatz'!$A$1:$F$40</definedName>
    <definedName name="_xlnm.Print_Area" localSheetId="4">'2) Realisierter G&amp;V Pro Aktie'!$A$1:$L$41</definedName>
    <definedName name="_xlnm.Print_Area" localSheetId="5">'3) Realisierter G&amp;V Pro Monat'!$A$1:$L$41</definedName>
    <definedName name="_xlnm.Print_Area" localSheetId="6">'4) Steuerübersicht'!$A$1:$F$40</definedName>
    <definedName name="_xlnm.Print_Area" localSheetId="2">'Berichte &gt;&gt;'!$B$2:$R$48</definedName>
    <definedName name="_xlnm.Print_Area" localSheetId="0">'CFMO- Anleitung'!$B$2:$P$67</definedName>
    <definedName name="_xlnm.Print_Area" localSheetId="1">'CFMO- Trading Log'!$B$2:$X$64</definedName>
    <definedName name="L_JANEIN">Listen!$C$4:$C$5</definedName>
    <definedName name="L_PAPIER">Listen!$B$4:$B$6</definedName>
  </definedNames>
  <calcPr calcId="191029" iterate="1" calcOnSave="0" concurrentCalc="0"/>
  <pivotCaches>
    <pivotCache cacheId="153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" l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G8" i="6"/>
  <c r="I6" i="1"/>
  <c r="X70" i="1"/>
  <c r="Y70" i="1"/>
  <c r="O70" i="1"/>
  <c r="W70" i="1"/>
  <c r="G70" i="1"/>
  <c r="J70" i="1"/>
  <c r="U70" i="1"/>
  <c r="P70" i="1"/>
  <c r="K70" i="1"/>
  <c r="H70" i="1"/>
  <c r="X69" i="1"/>
  <c r="Y69" i="1"/>
  <c r="O69" i="1"/>
  <c r="W69" i="1"/>
  <c r="G69" i="1"/>
  <c r="J69" i="1"/>
  <c r="U69" i="1"/>
  <c r="P69" i="1"/>
  <c r="K69" i="1"/>
  <c r="H69" i="1"/>
  <c r="X68" i="1"/>
  <c r="Y68" i="1"/>
  <c r="O68" i="1"/>
  <c r="W68" i="1"/>
  <c r="G68" i="1"/>
  <c r="J68" i="1"/>
  <c r="U68" i="1"/>
  <c r="P68" i="1"/>
  <c r="K68" i="1"/>
  <c r="H68" i="1"/>
  <c r="X67" i="1"/>
  <c r="Y67" i="1"/>
  <c r="O67" i="1"/>
  <c r="W67" i="1"/>
  <c r="G67" i="1"/>
  <c r="J67" i="1"/>
  <c r="U67" i="1"/>
  <c r="P67" i="1"/>
  <c r="K67" i="1"/>
  <c r="H67" i="1"/>
  <c r="X66" i="1"/>
  <c r="Y66" i="1"/>
  <c r="O66" i="1"/>
  <c r="W66" i="1"/>
  <c r="G66" i="1"/>
  <c r="J66" i="1"/>
  <c r="U66" i="1"/>
  <c r="P66" i="1"/>
  <c r="K66" i="1"/>
  <c r="H66" i="1"/>
  <c r="X65" i="1"/>
  <c r="Y65" i="1"/>
  <c r="O65" i="1"/>
  <c r="W65" i="1"/>
  <c r="G65" i="1"/>
  <c r="J65" i="1"/>
  <c r="U65" i="1"/>
  <c r="P65" i="1"/>
  <c r="K65" i="1"/>
  <c r="H65" i="1"/>
  <c r="X64" i="1"/>
  <c r="Y64" i="1"/>
  <c r="O64" i="1"/>
  <c r="W64" i="1"/>
  <c r="G64" i="1"/>
  <c r="J64" i="1"/>
  <c r="U64" i="1"/>
  <c r="P64" i="1"/>
  <c r="K64" i="1"/>
  <c r="H64" i="1"/>
  <c r="X63" i="1"/>
  <c r="Y63" i="1"/>
  <c r="O63" i="1"/>
  <c r="W63" i="1"/>
  <c r="G63" i="1"/>
  <c r="J63" i="1"/>
  <c r="U63" i="1"/>
  <c r="P63" i="1"/>
  <c r="K63" i="1"/>
  <c r="H63" i="1"/>
  <c r="X62" i="1"/>
  <c r="Y62" i="1"/>
  <c r="O62" i="1"/>
  <c r="W62" i="1"/>
  <c r="G62" i="1"/>
  <c r="J62" i="1"/>
  <c r="U62" i="1"/>
  <c r="P62" i="1"/>
  <c r="K62" i="1"/>
  <c r="H62" i="1"/>
  <c r="X61" i="1"/>
  <c r="Y61" i="1"/>
  <c r="O61" i="1"/>
  <c r="W61" i="1"/>
  <c r="G61" i="1"/>
  <c r="J61" i="1"/>
  <c r="U61" i="1"/>
  <c r="P61" i="1"/>
  <c r="K61" i="1"/>
  <c r="H61" i="1"/>
  <c r="X60" i="1"/>
  <c r="Y60" i="1"/>
  <c r="O60" i="1"/>
  <c r="W60" i="1"/>
  <c r="G60" i="1"/>
  <c r="J60" i="1"/>
  <c r="U60" i="1"/>
  <c r="P60" i="1"/>
  <c r="K60" i="1"/>
  <c r="H60" i="1"/>
  <c r="X59" i="1"/>
  <c r="Y59" i="1"/>
  <c r="O59" i="1"/>
  <c r="W59" i="1"/>
  <c r="G59" i="1"/>
  <c r="J59" i="1"/>
  <c r="U59" i="1"/>
  <c r="P59" i="1"/>
  <c r="K59" i="1"/>
  <c r="H59" i="1"/>
  <c r="X58" i="1"/>
  <c r="Y58" i="1"/>
  <c r="O58" i="1"/>
  <c r="W58" i="1"/>
  <c r="G58" i="1"/>
  <c r="J58" i="1"/>
  <c r="U58" i="1"/>
  <c r="P58" i="1"/>
  <c r="K58" i="1"/>
  <c r="H58" i="1"/>
  <c r="X57" i="1"/>
  <c r="Y57" i="1"/>
  <c r="O57" i="1"/>
  <c r="W57" i="1"/>
  <c r="G57" i="1"/>
  <c r="J57" i="1"/>
  <c r="U57" i="1"/>
  <c r="P57" i="1"/>
  <c r="K57" i="1"/>
  <c r="H57" i="1"/>
  <c r="X56" i="1"/>
  <c r="Y56" i="1"/>
  <c r="O56" i="1"/>
  <c r="W56" i="1"/>
  <c r="G56" i="1"/>
  <c r="J56" i="1"/>
  <c r="U56" i="1"/>
  <c r="P56" i="1"/>
  <c r="K56" i="1"/>
  <c r="H56" i="1"/>
  <c r="X55" i="1"/>
  <c r="Y55" i="1"/>
  <c r="O55" i="1"/>
  <c r="W55" i="1"/>
  <c r="G55" i="1"/>
  <c r="J55" i="1"/>
  <c r="U55" i="1"/>
  <c r="P55" i="1"/>
  <c r="K55" i="1"/>
  <c r="H55" i="1"/>
  <c r="X54" i="1"/>
  <c r="Y54" i="1"/>
  <c r="O54" i="1"/>
  <c r="W54" i="1"/>
  <c r="G54" i="1"/>
  <c r="J54" i="1"/>
  <c r="U54" i="1"/>
  <c r="P54" i="1"/>
  <c r="K54" i="1"/>
  <c r="H54" i="1"/>
  <c r="X53" i="1"/>
  <c r="Y53" i="1"/>
  <c r="O53" i="1"/>
  <c r="W53" i="1"/>
  <c r="G53" i="1"/>
  <c r="J53" i="1"/>
  <c r="U53" i="1"/>
  <c r="P53" i="1"/>
  <c r="K53" i="1"/>
  <c r="H53" i="1"/>
  <c r="X52" i="1"/>
  <c r="Y52" i="1"/>
  <c r="O52" i="1"/>
  <c r="W52" i="1"/>
  <c r="G52" i="1"/>
  <c r="J52" i="1"/>
  <c r="U52" i="1"/>
  <c r="P52" i="1"/>
  <c r="K52" i="1"/>
  <c r="H52" i="1"/>
  <c r="X51" i="1"/>
  <c r="Y51" i="1"/>
  <c r="O51" i="1"/>
  <c r="W51" i="1"/>
  <c r="G51" i="1"/>
  <c r="J51" i="1"/>
  <c r="U51" i="1"/>
  <c r="P51" i="1"/>
  <c r="K51" i="1"/>
  <c r="H51" i="1"/>
  <c r="X50" i="1"/>
  <c r="Y50" i="1"/>
  <c r="O50" i="1"/>
  <c r="W50" i="1"/>
  <c r="G50" i="1"/>
  <c r="J50" i="1"/>
  <c r="U50" i="1"/>
  <c r="P50" i="1"/>
  <c r="K50" i="1"/>
  <c r="H50" i="1"/>
  <c r="X49" i="1"/>
  <c r="Y49" i="1"/>
  <c r="O49" i="1"/>
  <c r="W49" i="1"/>
  <c r="G49" i="1"/>
  <c r="J49" i="1"/>
  <c r="U49" i="1"/>
  <c r="P49" i="1"/>
  <c r="K49" i="1"/>
  <c r="H49" i="1"/>
  <c r="X48" i="1"/>
  <c r="Y48" i="1"/>
  <c r="O48" i="1"/>
  <c r="W48" i="1"/>
  <c r="G48" i="1"/>
  <c r="J48" i="1"/>
  <c r="U48" i="1"/>
  <c r="P48" i="1"/>
  <c r="K48" i="1"/>
  <c r="H48" i="1"/>
  <c r="X47" i="1"/>
  <c r="Y47" i="1"/>
  <c r="O47" i="1"/>
  <c r="W47" i="1"/>
  <c r="G47" i="1"/>
  <c r="J47" i="1"/>
  <c r="U47" i="1"/>
  <c r="P47" i="1"/>
  <c r="K47" i="1"/>
  <c r="H47" i="1"/>
  <c r="X46" i="1"/>
  <c r="Y46" i="1"/>
  <c r="O46" i="1"/>
  <c r="W46" i="1"/>
  <c r="G46" i="1"/>
  <c r="J46" i="1"/>
  <c r="U46" i="1"/>
  <c r="P46" i="1"/>
  <c r="K46" i="1"/>
  <c r="H46" i="1"/>
  <c r="X45" i="1"/>
  <c r="Y45" i="1"/>
  <c r="O45" i="1"/>
  <c r="W45" i="1"/>
  <c r="G45" i="1"/>
  <c r="J45" i="1"/>
  <c r="U45" i="1"/>
  <c r="P45" i="1"/>
  <c r="K45" i="1"/>
  <c r="H45" i="1"/>
  <c r="X44" i="1"/>
  <c r="Y44" i="1"/>
  <c r="O44" i="1"/>
  <c r="W44" i="1"/>
  <c r="G44" i="1"/>
  <c r="J44" i="1"/>
  <c r="U44" i="1"/>
  <c r="P44" i="1"/>
  <c r="K44" i="1"/>
  <c r="H44" i="1"/>
  <c r="X43" i="1"/>
  <c r="Y43" i="1"/>
  <c r="O43" i="1"/>
  <c r="W43" i="1"/>
  <c r="G43" i="1"/>
  <c r="J43" i="1"/>
  <c r="U43" i="1"/>
  <c r="P43" i="1"/>
  <c r="K43" i="1"/>
  <c r="H43" i="1"/>
  <c r="X42" i="1"/>
  <c r="Y42" i="1"/>
  <c r="O42" i="1"/>
  <c r="W42" i="1"/>
  <c r="G42" i="1"/>
  <c r="J42" i="1"/>
  <c r="U42" i="1"/>
  <c r="P42" i="1"/>
  <c r="K42" i="1"/>
  <c r="H42" i="1"/>
  <c r="X41" i="1"/>
  <c r="Y41" i="1"/>
  <c r="O41" i="1"/>
  <c r="W41" i="1"/>
  <c r="G41" i="1"/>
  <c r="J41" i="1"/>
  <c r="U41" i="1"/>
  <c r="P41" i="1"/>
  <c r="K41" i="1"/>
  <c r="H41" i="1"/>
  <c r="O40" i="1"/>
  <c r="X40" i="1"/>
  <c r="Y40" i="1"/>
  <c r="W40" i="1"/>
  <c r="G40" i="1"/>
  <c r="J40" i="1"/>
  <c r="U40" i="1"/>
  <c r="P40" i="1"/>
  <c r="K40" i="1"/>
  <c r="H40" i="1"/>
  <c r="O39" i="1"/>
  <c r="X39" i="1"/>
  <c r="Y39" i="1"/>
  <c r="W39" i="1"/>
  <c r="G39" i="1"/>
  <c r="J39" i="1"/>
  <c r="U39" i="1"/>
  <c r="P39" i="1"/>
  <c r="K39" i="1"/>
  <c r="H39" i="1"/>
  <c r="O38" i="1"/>
  <c r="X38" i="1"/>
  <c r="Y38" i="1"/>
  <c r="W38" i="1"/>
  <c r="G38" i="1"/>
  <c r="J38" i="1"/>
  <c r="U38" i="1"/>
  <c r="P38" i="1"/>
  <c r="K38" i="1"/>
  <c r="H38" i="1"/>
  <c r="O37" i="1"/>
  <c r="X37" i="1"/>
  <c r="Y37" i="1"/>
  <c r="W37" i="1"/>
  <c r="G37" i="1"/>
  <c r="J37" i="1"/>
  <c r="U37" i="1"/>
  <c r="P37" i="1"/>
  <c r="K37" i="1"/>
  <c r="H37" i="1"/>
  <c r="O36" i="1"/>
  <c r="X36" i="1"/>
  <c r="Y36" i="1"/>
  <c r="W36" i="1"/>
  <c r="G36" i="1"/>
  <c r="J36" i="1"/>
  <c r="U36" i="1"/>
  <c r="P36" i="1"/>
  <c r="K36" i="1"/>
  <c r="H36" i="1"/>
  <c r="O35" i="1"/>
  <c r="X35" i="1"/>
  <c r="Y35" i="1"/>
  <c r="W35" i="1"/>
  <c r="G35" i="1"/>
  <c r="J35" i="1"/>
  <c r="U35" i="1"/>
  <c r="P35" i="1"/>
  <c r="K35" i="1"/>
  <c r="H35" i="1"/>
  <c r="O34" i="1"/>
  <c r="X34" i="1"/>
  <c r="Y34" i="1"/>
  <c r="W34" i="1"/>
  <c r="G34" i="1"/>
  <c r="J34" i="1"/>
  <c r="U34" i="1"/>
  <c r="P34" i="1"/>
  <c r="K34" i="1"/>
  <c r="H34" i="1"/>
  <c r="O33" i="1"/>
  <c r="X33" i="1"/>
  <c r="Y33" i="1"/>
  <c r="W33" i="1"/>
  <c r="G33" i="1"/>
  <c r="J33" i="1"/>
  <c r="U33" i="1"/>
  <c r="P33" i="1"/>
  <c r="K33" i="1"/>
  <c r="H33" i="1"/>
  <c r="O32" i="1"/>
  <c r="X32" i="1"/>
  <c r="Y32" i="1"/>
  <c r="W32" i="1"/>
  <c r="G32" i="1"/>
  <c r="J32" i="1"/>
  <c r="U32" i="1"/>
  <c r="P32" i="1"/>
  <c r="K32" i="1"/>
  <c r="H32" i="1"/>
  <c r="O31" i="1"/>
  <c r="X31" i="1"/>
  <c r="Y31" i="1"/>
  <c r="W31" i="1"/>
  <c r="G31" i="1"/>
  <c r="J31" i="1"/>
  <c r="U31" i="1"/>
  <c r="P31" i="1"/>
  <c r="K31" i="1"/>
  <c r="H31" i="1"/>
  <c r="O30" i="1"/>
  <c r="X30" i="1"/>
  <c r="Y30" i="1"/>
  <c r="W30" i="1"/>
  <c r="G30" i="1"/>
  <c r="J30" i="1"/>
  <c r="U30" i="1"/>
  <c r="P30" i="1"/>
  <c r="K30" i="1"/>
  <c r="H30" i="1"/>
  <c r="O29" i="1"/>
  <c r="X29" i="1"/>
  <c r="Y29" i="1"/>
  <c r="W29" i="1"/>
  <c r="G29" i="1"/>
  <c r="J29" i="1"/>
  <c r="U29" i="1"/>
  <c r="P29" i="1"/>
  <c r="K29" i="1"/>
  <c r="H29" i="1"/>
  <c r="O28" i="1"/>
  <c r="X28" i="1"/>
  <c r="Y28" i="1"/>
  <c r="W28" i="1"/>
  <c r="G28" i="1"/>
  <c r="J28" i="1"/>
  <c r="U28" i="1"/>
  <c r="P28" i="1"/>
  <c r="K28" i="1"/>
  <c r="H28" i="1"/>
  <c r="O27" i="1"/>
  <c r="X27" i="1"/>
  <c r="Y27" i="1"/>
  <c r="W27" i="1"/>
  <c r="G27" i="1"/>
  <c r="J27" i="1"/>
  <c r="U27" i="1"/>
  <c r="P27" i="1"/>
  <c r="K27" i="1"/>
  <c r="H27" i="1"/>
  <c r="O26" i="1"/>
  <c r="X26" i="1"/>
  <c r="Y26" i="1"/>
  <c r="W26" i="1"/>
  <c r="G26" i="1"/>
  <c r="J26" i="1"/>
  <c r="U26" i="1"/>
  <c r="P26" i="1"/>
  <c r="K26" i="1"/>
  <c r="H26" i="1"/>
  <c r="O25" i="1"/>
  <c r="X25" i="1"/>
  <c r="Y25" i="1"/>
  <c r="W25" i="1"/>
  <c r="G25" i="1"/>
  <c r="J25" i="1"/>
  <c r="U25" i="1"/>
  <c r="P25" i="1"/>
  <c r="K25" i="1"/>
  <c r="H25" i="1"/>
  <c r="O24" i="1"/>
  <c r="X24" i="1"/>
  <c r="Y24" i="1"/>
  <c r="W24" i="1"/>
  <c r="G24" i="1"/>
  <c r="J24" i="1"/>
  <c r="U24" i="1"/>
  <c r="P24" i="1"/>
  <c r="K24" i="1"/>
  <c r="H24" i="1"/>
  <c r="O23" i="1"/>
  <c r="X23" i="1"/>
  <c r="Y23" i="1"/>
  <c r="W23" i="1"/>
  <c r="G23" i="1"/>
  <c r="J23" i="1"/>
  <c r="U23" i="1"/>
  <c r="P23" i="1"/>
  <c r="K23" i="1"/>
  <c r="H23" i="1"/>
  <c r="O22" i="1"/>
  <c r="X22" i="1"/>
  <c r="Y22" i="1"/>
  <c r="W22" i="1"/>
  <c r="G22" i="1"/>
  <c r="J22" i="1"/>
  <c r="U22" i="1"/>
  <c r="P22" i="1"/>
  <c r="K22" i="1"/>
  <c r="H22" i="1"/>
  <c r="O21" i="1"/>
  <c r="X21" i="1"/>
  <c r="Y21" i="1"/>
  <c r="W21" i="1"/>
  <c r="G21" i="1"/>
  <c r="J21" i="1"/>
  <c r="U21" i="1"/>
  <c r="P21" i="1"/>
  <c r="K21" i="1"/>
  <c r="H21" i="1"/>
  <c r="O20" i="1"/>
  <c r="X20" i="1"/>
  <c r="Y20" i="1"/>
  <c r="W20" i="1"/>
  <c r="G20" i="1"/>
  <c r="J20" i="1"/>
  <c r="U20" i="1"/>
  <c r="P20" i="1"/>
  <c r="K20" i="1"/>
  <c r="H20" i="1"/>
  <c r="O19" i="1"/>
  <c r="X19" i="1"/>
  <c r="Y19" i="1"/>
  <c r="W19" i="1"/>
  <c r="G19" i="1"/>
  <c r="J19" i="1"/>
  <c r="U19" i="1"/>
  <c r="P19" i="1"/>
  <c r="K19" i="1"/>
  <c r="H19" i="1"/>
  <c r="O18" i="1"/>
  <c r="X18" i="1"/>
  <c r="Y18" i="1"/>
  <c r="W18" i="1"/>
  <c r="G18" i="1"/>
  <c r="J18" i="1"/>
  <c r="U18" i="1"/>
  <c r="P18" i="1"/>
  <c r="K18" i="1"/>
  <c r="H18" i="1"/>
  <c r="O17" i="1"/>
  <c r="X17" i="1"/>
  <c r="Y17" i="1"/>
  <c r="W17" i="1"/>
  <c r="G17" i="1"/>
  <c r="J17" i="1"/>
  <c r="U17" i="1"/>
  <c r="P17" i="1"/>
  <c r="K17" i="1"/>
  <c r="H17" i="1"/>
  <c r="O16" i="1"/>
  <c r="X16" i="1"/>
  <c r="Y16" i="1"/>
  <c r="W16" i="1"/>
  <c r="G16" i="1"/>
  <c r="J16" i="1"/>
  <c r="U16" i="1"/>
  <c r="P16" i="1"/>
  <c r="K16" i="1"/>
  <c r="H16" i="1"/>
  <c r="O15" i="1"/>
  <c r="X15" i="1"/>
  <c r="Y15" i="1"/>
  <c r="W15" i="1"/>
  <c r="G15" i="1"/>
  <c r="J15" i="1"/>
  <c r="U15" i="1"/>
  <c r="P15" i="1"/>
  <c r="K15" i="1"/>
  <c r="H15" i="1"/>
  <c r="O14" i="1"/>
  <c r="X14" i="1"/>
  <c r="Y14" i="1"/>
  <c r="W14" i="1"/>
  <c r="G14" i="1"/>
  <c r="J14" i="1"/>
  <c r="U14" i="1"/>
  <c r="P14" i="1"/>
  <c r="K14" i="1"/>
  <c r="H14" i="1"/>
  <c r="O13" i="1"/>
  <c r="X13" i="1"/>
  <c r="Y13" i="1"/>
  <c r="W13" i="1"/>
  <c r="G13" i="1"/>
  <c r="J13" i="1"/>
  <c r="U13" i="1"/>
  <c r="P13" i="1"/>
  <c r="K13" i="1"/>
  <c r="H13" i="1"/>
  <c r="Y12" i="1"/>
  <c r="X12" i="1"/>
  <c r="O12" i="1"/>
  <c r="V12" i="1"/>
  <c r="W12" i="1"/>
  <c r="T12" i="1"/>
  <c r="N12" i="1"/>
  <c r="H12" i="1"/>
  <c r="G12" i="1"/>
  <c r="Y11" i="1"/>
  <c r="X11" i="1"/>
  <c r="W11" i="1"/>
  <c r="V11" i="1"/>
  <c r="B10" i="1"/>
  <c r="G7" i="1"/>
  <c r="A1" i="6"/>
  <c r="G7" i="6"/>
  <c r="G9" i="6"/>
  <c r="G1" i="9"/>
  <c r="A1" i="9"/>
  <c r="L1" i="5"/>
  <c r="A1" i="5"/>
  <c r="A1" i="4"/>
  <c r="G1" i="4"/>
</calcChain>
</file>

<file path=xl/sharedStrings.xml><?xml version="1.0" encoding="utf-8"?>
<sst xmlns="http://schemas.openxmlformats.org/spreadsheetml/2006/main" count="296" uniqueCount="161">
  <si>
    <t>Steuersatz</t>
  </si>
  <si>
    <t>Papier</t>
  </si>
  <si>
    <t>Status</t>
  </si>
  <si>
    <t>Aktie</t>
  </si>
  <si>
    <t>Typ</t>
  </si>
  <si>
    <t>Zuweisung?</t>
  </si>
  <si>
    <t>Kommentar</t>
  </si>
  <si>
    <t>CLOSED</t>
  </si>
  <si>
    <t>CHWY</t>
  </si>
  <si>
    <t>UPWK</t>
  </si>
  <si>
    <t>GRWG</t>
  </si>
  <si>
    <t>OPEN</t>
  </si>
  <si>
    <t>Put</t>
  </si>
  <si>
    <t>Call</t>
  </si>
  <si>
    <t>Referenz</t>
  </si>
  <si>
    <t>Open-Datum</t>
  </si>
  <si>
    <t>Ticker</t>
  </si>
  <si>
    <t>EUR</t>
  </si>
  <si>
    <t>Nein</t>
  </si>
  <si>
    <t>Ja</t>
  </si>
  <si>
    <t>Basiswährung</t>
  </si>
  <si>
    <t>Gewinn &amp; Steuer in Basiswährung</t>
  </si>
  <si>
    <t>Anzahl Aktien</t>
  </si>
  <si>
    <t>Bruttorendite pro Trade</t>
  </si>
  <si>
    <t>Jahresrendite (%)</t>
  </si>
  <si>
    <t>Bruttorendite (%)</t>
  </si>
  <si>
    <t>(zur Berechnung der Gesamtrendite)</t>
  </si>
  <si>
    <t>(eigener Steuersatz für Kapitalerträge)</t>
  </si>
  <si>
    <t>Haltedauer (Tage)</t>
  </si>
  <si>
    <t>Brutto G/V (n.G.)</t>
  </si>
  <si>
    <t>(Alle)</t>
  </si>
  <si>
    <t>Zeilenbeschriftungen</t>
  </si>
  <si>
    <t>Gesamtergebnis</t>
  </si>
  <si>
    <t>Spaltenbeschriftungen</t>
  </si>
  <si>
    <t>Summe von Brutto G/V (n.G.)</t>
  </si>
  <si>
    <t>Kalenderjahr</t>
  </si>
  <si>
    <t>(pro Kalendarjahr bitte eine Datei verwenden)</t>
  </si>
  <si>
    <t>Monat (Steuer)</t>
  </si>
  <si>
    <t>Strike / Kaufpreis</t>
  </si>
  <si>
    <t>Bedienungsanleitung Trade Log</t>
  </si>
  <si>
    <t>Berichte</t>
  </si>
  <si>
    <t>1) Aktueller Kapitaleinsatz</t>
  </si>
  <si>
    <t>2) Realisierter G&amp;V Pro Aktie</t>
  </si>
  <si>
    <t>3) Realisierter G&amp;A Pro Monat</t>
  </si>
  <si>
    <t>4) Steuerübersicht</t>
  </si>
  <si>
    <t>ATVI</t>
  </si>
  <si>
    <t>Die Summe aus dem in Aktien gebundenen Kapital und über Cash-Secured Put verpflichteten Kapital entspricht dem aktuellen Kapitaleinsatz.</t>
  </si>
  <si>
    <t>Wer im Cash-Account handelt oder keine Risiko eingehen will, auf Margin zu handeln, sollte immer darauf achten, dass der aktuelle</t>
  </si>
  <si>
    <t>Kapitaleinsatz nicht höher ist, als die eigenen Barmittel. Das sollte stets vor dem Schreiben eines neuen Puts geprüft werden.</t>
  </si>
  <si>
    <t>Dieser Bericht gibt einen Überblick der aktuell gehaltenen Aktienpositionen und offener Puts.</t>
  </si>
  <si>
    <t>(für deine Steuererklärung)</t>
  </si>
  <si>
    <t>Bei Cashflow mit Optionen ist das primäre Ziel, Geld über Prämien zu verdienen. Gelegentlich kann es zu Gewinnen aus Aktien</t>
  </si>
  <si>
    <t xml:space="preserve">kommen, wenn ein Call zu einem Basispreis oberhalb des Aktienkaufpreises geschrieben wird. Verluste aus Aktien sollten die  </t>
  </si>
  <si>
    <t>Ausnahme sein, und nur dann eintreten, wenn man nicht (mehr) von einer Aktie überzeugt ist, welche man erworben hat.</t>
  </si>
  <si>
    <t>Einleitung</t>
  </si>
  <si>
    <t>Dieses Trading Log dient der Erfassung einzelner Trades im Rahmen der Cashflow mit Optionen Stillhalterstrategie.</t>
  </si>
  <si>
    <t>Diese Erfassung ist sowohl zur Überwachung der persönlichen Performance sowie des aktuellen Kapitaleinsatzes</t>
  </si>
  <si>
    <t>hilfreich, als auch für die spätere Erstellung der Steuererklärung. In der Tat ist es zumindest nach deutschen</t>
  </si>
  <si>
    <t>Steuerrecht so, dass Gewinne/Verluste aus Aktien separat von Gewinnen/Verlusten aus Geschäften mit Derivaten</t>
  </si>
  <si>
    <t>(z.B. Optionen) auszuweisen sind. Diese Trennung wird allerdings in den Trading-Berichten von Interactive Brokers</t>
  </si>
  <si>
    <t>und dessen Reseller (CapTrader, Banx und Lynx) nicht korrekt dargestellt. Hier wird z.B. der Kaufpreis einer Aktie</t>
  </si>
  <si>
    <t>durch die Put-Prämie reduziert, so dass diese bei Veräußerung als Aktiengewinn statt als Prämie ausgewiesen wird.</t>
  </si>
  <si>
    <t>Diese Excel-Datei nur als Hilfestellung zu verstehen. Es wird keine Verantwortung für deren Verwendung übernommen,</t>
  </si>
  <si>
    <t>und jegliche Haftungsansprüche für etwaige finanzielle oder sonstige Schäden sind ausgeschlossen. Insbesondere rate</t>
  </si>
  <si>
    <t>ich dir, dich im Rahmen deiner Steuererklärung unbedingt von einem professionellen Steuerberater beraten zu lassen.</t>
  </si>
  <si>
    <t>Aufbau</t>
  </si>
  <si>
    <t>Bitte gebe keine Wert in andere Felder ein, um Formeln nicht zu überschreiben.</t>
  </si>
  <si>
    <t>Das gelbe Tab "CFMO- Trading Log" dient der Erfassung deiner einzelnen Trades. Alle Eingabefelder sind geld markiert.</t>
  </si>
  <si>
    <t>Die blauen Tabs sind Berichtstabellen. Hier bekommst du einige voreingestellten Übersichten über deinen aktuellen</t>
  </si>
  <si>
    <t>Kapitaleinsatz, deine Performance (realisierter G&amp;V) und eine Übersicht für die Steuer, welche deine G&amp;V von Aktien</t>
  </si>
  <si>
    <t>Datenerfassung im Trading-Log</t>
  </si>
  <si>
    <t>Aktienwährung</t>
  </si>
  <si>
    <t>USD</t>
  </si>
  <si>
    <t>(führe einen separaten Log pro Aktienwährung)</t>
  </si>
  <si>
    <t>Gesamt: G/V v.S.</t>
  </si>
  <si>
    <t>G/V v.S.</t>
  </si>
  <si>
    <t>Gesamt: Steuer</t>
  </si>
  <si>
    <t>Steuer</t>
  </si>
  <si>
    <t>Grundeinstellungen:</t>
  </si>
  <si>
    <t>NB: Es sollte ein Trading Log pro Kalenderjahr und pro gehandelter Aktienwährung geführt werden</t>
  </si>
  <si>
    <t>Zelle:</t>
  </si>
  <si>
    <t>I3</t>
  </si>
  <si>
    <t>I4</t>
  </si>
  <si>
    <t>I5</t>
  </si>
  <si>
    <t>I6</t>
  </si>
  <si>
    <t>I7</t>
  </si>
  <si>
    <t>Eigenkapital</t>
  </si>
  <si>
    <t>Trading Log:</t>
  </si>
  <si>
    <t>Spalte:</t>
  </si>
  <si>
    <t>B</t>
  </si>
  <si>
    <t>C</t>
  </si>
  <si>
    <t>D</t>
  </si>
  <si>
    <t>E</t>
  </si>
  <si>
    <t>F</t>
  </si>
  <si>
    <t>I</t>
  </si>
  <si>
    <t>L</t>
  </si>
  <si>
    <t>M</t>
  </si>
  <si>
    <t>Q</t>
  </si>
  <si>
    <t>R</t>
  </si>
  <si>
    <t>Die Berichte werden nur korrekt angezeigt, wenn deine Angaben im Log korrekt und vollständig eingegeben wurden.</t>
  </si>
  <si>
    <t>Außerdem solltest du immer die Pivot-Tabelle aktualisieren, um den letzten Stand nach einer Änderung des Trading Logs</t>
  </si>
  <si>
    <t>abzufragen (dazu rechter Mausklick auf die Tabelle &gt;&gt; Aktualisieren).</t>
  </si>
  <si>
    <t>Cashflow mit Optionen bietet keine Finanz- oder Steuerberatung. Mehr Infos unter cashflowmitoptionen.de/disclaimer.</t>
  </si>
  <si>
    <t>©2021-2022 Cashflow mit Optionen. Alle Rechte vorbehalten.</t>
  </si>
  <si>
    <t>Wähle hier, ob es sich um einen Put, einen Call oder eine Aktie (bei Zuweisung) handelt</t>
  </si>
  <si>
    <t>Ja_Nein</t>
  </si>
  <si>
    <t>(Leer)</t>
  </si>
  <si>
    <t>W0001</t>
  </si>
  <si>
    <t>W0002</t>
  </si>
  <si>
    <t>Nutze diese Spalte, um verschiedene Wheel Trades über eine gemeinsame Referenz zu verknüpfen (optional)</t>
  </si>
  <si>
    <t>Schreibe dir hier bei Bedarf einen Kommentar auf (optional)</t>
  </si>
  <si>
    <t>Trage hier das Kalenderjahr ein, für welches du das Trading Log erstellst</t>
  </si>
  <si>
    <t>Trage hier die Währung der Aktien ein, die du handeln möchtest (z.B. USD oder EUR)</t>
  </si>
  <si>
    <t>Trage hier die Basiswährung deines Brokerkontos ein (i.d.R. Währung der Steuererklärung)</t>
  </si>
  <si>
    <t>Trage hier deinen (voraussichtlichen) persönlichen Steuersatz ein</t>
  </si>
  <si>
    <t>Trage hier den Ticker der gehandelten Aktie ein (z.B. KO für Coca-Cola)</t>
  </si>
  <si>
    <t>Trage hier den Optionsbasispreis bzw. den Aktienkaufpreis ein</t>
  </si>
  <si>
    <t>Trage hier das Datum ein, an dem eine Position geschlossen wurde (Option abgelaufen/geschlossen, Aktie ausgebucht)</t>
  </si>
  <si>
    <t>Trage hier das Datum ein, an dem eine Option verkauft oder eine Aktie infolge eines Puts zugewiesen wurde</t>
  </si>
  <si>
    <t>Trage hier den Gewinn/Verlust in Basiswährung ein (nutze dazu den Kontoauszug deines Brokers)</t>
  </si>
  <si>
    <t>Wähle hier "Ja", wenn dir Aktien zugewiesen (Put) oder ausgebucht (Call) wurden. Sonst "Nein"</t>
  </si>
  <si>
    <r>
      <t xml:space="preserve">Bei Fragen oder Anregungen wende dich gerne an </t>
    </r>
    <r>
      <rPr>
        <sz val="16"/>
        <color rgb="FF0070C0"/>
        <rFont val="Calibri (Textkörper)"/>
      </rPr>
      <t>info@cashflowmitoptionen.de</t>
    </r>
    <r>
      <rPr>
        <sz val="16"/>
        <color theme="1"/>
        <rFont val="Calibri"/>
        <family val="2"/>
        <scheme val="minor"/>
      </rPr>
      <t>.</t>
    </r>
  </si>
  <si>
    <t>Dieser Bericht wird sowohl in USD als auch in der eingestellten Basiswährung angezeigt. Diese Basiswährung sollte der Währung entsprechen,</t>
  </si>
  <si>
    <t>in der du deine Steuererklärung abgibts.</t>
  </si>
  <si>
    <t>Akt. Kapitaleinsatz</t>
  </si>
  <si>
    <t>(+)Überschuss / (-)Kredit</t>
  </si>
  <si>
    <t>Trage hier dein für CFMO eingezahltes Eigenkapital ein (in Aktienwährung, siehe I4)</t>
  </si>
  <si>
    <t>Zusammenfassung</t>
  </si>
  <si>
    <t>Dieser Bericht zeigt pro Aktie an, wie viel man über Puts, Calls bzw. mit Aktien verdient hat. Sofern im Trading Log auch Referenznummern</t>
  </si>
  <si>
    <t>anzeigen lassen kann.</t>
  </si>
  <si>
    <t>angegeben wurden (siehe Spalte Q), werden Trades nach diesen gruppiert, so dass man sich die Gewinne/Verluste auch z.B. pro Wheel-Trade</t>
  </si>
  <si>
    <t>Dieser Bericht zeigt den Gewinn oder Verlust aus Aktien, Puts und Calls pro Monat an. So kann man seine realisierte Performance im Zeitverlauf</t>
  </si>
  <si>
    <t>nachverfolgenden.</t>
  </si>
  <si>
    <t>NB: nicht realisierte Gewinne/Verluste interessieren uns im Rahmen von Cashflow mit Optionen nicht unmittelbar. Natürlich sollte diese auch</t>
  </si>
  <si>
    <t>beobachtet werden, was über die vom Broker zur Verfügung gestellten Berichte sehr einfach möglich ist. Allerdings liegt der Fokus dieses Logs</t>
  </si>
  <si>
    <t>ausschließlich auf der monatlichen, systematischen und dauerhaften Erwirtschaftung von Cashflows.</t>
  </si>
  <si>
    <t>Wenn du in Deutschland steuerpflichtig bist, musst du nach aktueller Gesetzeslage (Dezember 2021) die Gewinne &amp; Verluste aus Aktiengeschäften</t>
  </si>
  <si>
    <t>Ich bin kein Steuerberater und dies ist keine Steuerberatung. Bitte frage unbedingt deinen persönlichen Steuerberater um Hilfe bei der Erstellung</t>
  </si>
  <si>
    <t>deiner Steuererklärung. Es gibt keine Gewähr für die Richtigkeit der in diesem Bericht enthaltenen Daten.</t>
  </si>
  <si>
    <t>von denen aus Optionsgeschäften trennen, und kann sie auch nicht miteinander verrechnen. Dabei soll dieser Bericht helfen.</t>
  </si>
  <si>
    <t>und Optionen sauber trennt. Mehr Informationen zu den Berichtsinhalten findest du auf dem Tab "Berichte".</t>
  </si>
  <si>
    <t>Gehe zu Berichte</t>
  </si>
  <si>
    <t>WPM</t>
  </si>
  <si>
    <t>AG</t>
  </si>
  <si>
    <t>W0003</t>
  </si>
  <si>
    <t>Trage hier die Anzahl gehandelter Aktien ein (immer ein Vielfaches von 100, bei Optionsrückkauf negative Menge)</t>
  </si>
  <si>
    <t>Nur für Optionen: trage hier den Prämienwert ein, den du erhalten oder gezahlt hast (immer eine positive Zahl)</t>
  </si>
  <si>
    <t>Nur für Aktien: trage hier den Kurs ein, zu welchem Aktien verkauft oder ausgebucht wurden (immer eine positive Zahl)</t>
  </si>
  <si>
    <t>N</t>
  </si>
  <si>
    <t>Trage hier die gesamten Gebühren ein (für Optionen- oder Aktiengeschäfte)</t>
  </si>
  <si>
    <t>S</t>
  </si>
  <si>
    <t>V</t>
  </si>
  <si>
    <t>Eingesetztes Kapital</t>
  </si>
  <si>
    <t>Ausstehende Puts</t>
  </si>
  <si>
    <t>Close-
Datum</t>
  </si>
  <si>
    <t>Optionsprämie
(pro Aktie)</t>
  </si>
  <si>
    <t>Verkaufspreis
(pro Aktie)</t>
  </si>
  <si>
    <t>Gebühren
(gesamt)</t>
  </si>
  <si>
    <t>Summe von Eingesetztes Kapital</t>
  </si>
  <si>
    <t>R0001</t>
  </si>
  <si>
    <t>Sofortiger Rückkauf (falscher Strike)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</si>
</sst>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\ &quot;USD&quot;"/>
    <numFmt numFmtId="165" formatCode="0.0%"/>
    <numFmt numFmtId="166" formatCode="_-* #,##0_-;\-* #,##0_-;_-* &quot;-&quot;??_-;_-@_-"/>
    <numFmt numFmtId="167" formatCode="ddd\-dd/mm/yy"/>
    <numFmt numFmtId="168" formatCode="_-* #,##0.00\ _€_-;\-* #,##0.00\ _€_-;_-* &quot;-&quot;??\ _€_-;_-@_-"/>
    <numFmt numFmtId="169" formatCode="_-* #,##0\ _€_-;\-* #,##0\ _€_-;_-* &quot;-&quot;??\ _€_-;_-@_-"/>
  </numFmts>
  <fonts count="2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Open Sans Regular"/>
    </font>
    <font>
      <b/>
      <sz val="12"/>
      <color theme="1"/>
      <name val="Open Sans Regula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6"/>
      <color rgb="FF0070C0"/>
      <name val="Calibri (Textkörper)"/>
    </font>
    <font>
      <b/>
      <u/>
      <sz val="18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9">
    <border>
      <left/>
      <right/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34998626667073579"/>
      </top>
      <bottom/>
      <diagonal/>
    </border>
    <border>
      <left/>
      <right style="medium">
        <color theme="1" tint="0.499984740745262"/>
      </right>
      <top style="medium">
        <color theme="0" tint="-0.34998626667073579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1" tint="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34998626667073579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34998626667073579"/>
      </bottom>
      <diagonal/>
    </border>
    <border>
      <left/>
      <right/>
      <top style="medium">
        <color theme="1" tint="0.499984740745262"/>
      </top>
      <bottom style="medium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2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5" fontId="2" fillId="5" borderId="1" xfId="2" applyNumberFormat="1" applyFont="1" applyFill="1" applyBorder="1"/>
    <xf numFmtId="3" fontId="2" fillId="2" borderId="1" xfId="0" applyNumberFormat="1" applyFont="1" applyFill="1" applyBorder="1" applyAlignment="1">
      <alignment horizontal="center"/>
    </xf>
    <xf numFmtId="165" fontId="2" fillId="5" borderId="0" xfId="2" applyNumberFormat="1" applyFont="1" applyFill="1" applyBorder="1"/>
    <xf numFmtId="0" fontId="4" fillId="0" borderId="0" xfId="0" applyFont="1"/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left"/>
    </xf>
    <xf numFmtId="165" fontId="2" fillId="5" borderId="7" xfId="2" applyNumberFormat="1" applyFont="1" applyFill="1" applyBorder="1"/>
    <xf numFmtId="165" fontId="2" fillId="5" borderId="9" xfId="2" applyNumberFormat="1" applyFont="1" applyFill="1" applyBorder="1"/>
    <xf numFmtId="165" fontId="2" fillId="5" borderId="11" xfId="2" applyNumberFormat="1" applyFont="1" applyFill="1" applyBorder="1"/>
    <xf numFmtId="165" fontId="2" fillId="5" borderId="12" xfId="2" applyNumberFormat="1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2" fillId="6" borderId="5" xfId="0" applyFont="1" applyFill="1" applyBorder="1" applyAlignment="1">
      <alignment horizontal="center"/>
    </xf>
    <xf numFmtId="0" fontId="2" fillId="6" borderId="5" xfId="0" applyFont="1" applyFill="1" applyBorder="1"/>
    <xf numFmtId="164" fontId="2" fillId="6" borderId="5" xfId="0" applyNumberFormat="1" applyFont="1" applyFill="1" applyBorder="1"/>
    <xf numFmtId="0" fontId="2" fillId="6" borderId="6" xfId="0" applyFont="1" applyFill="1" applyBorder="1" applyAlignment="1">
      <alignment horizontal="left"/>
    </xf>
    <xf numFmtId="0" fontId="3" fillId="0" borderId="1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/>
    </xf>
    <xf numFmtId="0" fontId="3" fillId="0" borderId="7" xfId="0" applyFont="1" applyBorder="1" applyAlignment="1">
      <alignment horizontal="center"/>
    </xf>
    <xf numFmtId="167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left"/>
    </xf>
    <xf numFmtId="167" fontId="2" fillId="2" borderId="9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left"/>
    </xf>
    <xf numFmtId="167" fontId="2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7" fontId="2" fillId="2" borderId="12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168" fontId="3" fillId="0" borderId="1" xfId="0" applyNumberFormat="1" applyFont="1" applyBorder="1" applyAlignment="1">
      <alignment horizontal="left"/>
    </xf>
    <xf numFmtId="0" fontId="3" fillId="0" borderId="14" xfId="0" applyFont="1" applyBorder="1" applyAlignment="1">
      <alignment horizontal="center" vertical="top" wrapText="1"/>
    </xf>
    <xf numFmtId="165" fontId="3" fillId="0" borderId="7" xfId="2" applyNumberFormat="1" applyFont="1" applyBorder="1" applyAlignment="1"/>
    <xf numFmtId="165" fontId="3" fillId="0" borderId="1" xfId="2" applyNumberFormat="1" applyFont="1" applyBorder="1" applyAlignment="1"/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164" fontId="2" fillId="0" borderId="20" xfId="2" applyNumberFormat="1" applyFont="1" applyBorder="1"/>
    <xf numFmtId="164" fontId="2" fillId="0" borderId="21" xfId="2" applyNumberFormat="1" applyFont="1" applyBorder="1"/>
    <xf numFmtId="0" fontId="2" fillId="0" borderId="22" xfId="0" applyFont="1" applyBorder="1" applyAlignment="1">
      <alignment horizontal="center"/>
    </xf>
    <xf numFmtId="164" fontId="2" fillId="0" borderId="23" xfId="0" applyNumberFormat="1" applyFont="1" applyBorder="1"/>
    <xf numFmtId="0" fontId="2" fillId="0" borderId="22" xfId="0" applyFont="1" applyBorder="1"/>
    <xf numFmtId="166" fontId="2" fillId="2" borderId="0" xfId="1" applyNumberFormat="1" applyFont="1" applyFill="1" applyBorder="1" applyAlignment="1">
      <alignment horizontal="right"/>
    </xf>
    <xf numFmtId="0" fontId="2" fillId="0" borderId="24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25" xfId="0" applyNumberFormat="1" applyFont="1" applyBorder="1"/>
    <xf numFmtId="0" fontId="2" fillId="5" borderId="1" xfId="1" applyNumberFormat="1" applyFont="1" applyFill="1" applyBorder="1" applyAlignment="1">
      <alignment horizontal="center"/>
    </xf>
    <xf numFmtId="0" fontId="2" fillId="5" borderId="0" xfId="1" applyNumberFormat="1" applyFont="1" applyFill="1" applyBorder="1" applyAlignment="1">
      <alignment horizontal="center"/>
    </xf>
    <xf numFmtId="0" fontId="2" fillId="5" borderId="12" xfId="1" applyNumberFormat="1" applyFont="1" applyFill="1" applyBorder="1"/>
    <xf numFmtId="164" fontId="2" fillId="0" borderId="0" xfId="2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6" borderId="5" xfId="0" applyNumberFormat="1" applyFont="1" applyFill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8" fontId="2" fillId="5" borderId="1" xfId="0" applyNumberFormat="1" applyFont="1" applyFill="1" applyBorder="1" applyAlignment="1">
      <alignment horizontal="center"/>
    </xf>
    <xf numFmtId="168" fontId="2" fillId="5" borderId="12" xfId="0" applyNumberFormat="1" applyFont="1" applyFill="1" applyBorder="1" applyAlignment="1">
      <alignment horizontal="center"/>
    </xf>
    <xf numFmtId="168" fontId="3" fillId="5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2" fontId="0" fillId="0" borderId="0" xfId="0" applyNumberFormat="1"/>
    <xf numFmtId="164" fontId="2" fillId="0" borderId="0" xfId="2" applyNumberFormat="1" applyFont="1" applyBorder="1"/>
    <xf numFmtId="164" fontId="2" fillId="0" borderId="23" xfId="2" applyNumberFormat="1" applyFont="1" applyBorder="1"/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/>
    <xf numFmtId="169" fontId="3" fillId="0" borderId="1" xfId="0" applyNumberFormat="1" applyFont="1" applyBorder="1" applyAlignment="1">
      <alignment horizontal="left"/>
    </xf>
    <xf numFmtId="0" fontId="0" fillId="5" borderId="0" xfId="0" applyFill="1"/>
    <xf numFmtId="0" fontId="0" fillId="7" borderId="0" xfId="0" applyFill="1" applyBorder="1"/>
    <xf numFmtId="0" fontId="0" fillId="7" borderId="0" xfId="0" applyFill="1"/>
    <xf numFmtId="0" fontId="10" fillId="7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7" fillId="7" borderId="0" xfId="0" quotePrefix="1" applyFont="1" applyFill="1" applyBorder="1"/>
    <xf numFmtId="0" fontId="13" fillId="7" borderId="0" xfId="0" applyFont="1" applyFill="1" applyBorder="1"/>
    <xf numFmtId="0" fontId="12" fillId="7" borderId="0" xfId="0" applyFont="1" applyFill="1" applyBorder="1" applyAlignment="1">
      <alignment horizontal="center"/>
    </xf>
    <xf numFmtId="0" fontId="11" fillId="7" borderId="28" xfId="0" applyFont="1" applyFill="1" applyBorder="1"/>
    <xf numFmtId="0" fontId="0" fillId="7" borderId="29" xfId="0" applyFill="1" applyBorder="1"/>
    <xf numFmtId="0" fontId="0" fillId="7" borderId="30" xfId="0" applyFill="1" applyBorder="1"/>
    <xf numFmtId="0" fontId="11" fillId="7" borderId="31" xfId="0" applyFont="1" applyFill="1" applyBorder="1"/>
    <xf numFmtId="0" fontId="0" fillId="7" borderId="32" xfId="0" applyFill="1" applyBorder="1"/>
    <xf numFmtId="0" fontId="11" fillId="7" borderId="33" xfId="0" applyFont="1" applyFill="1" applyBorder="1"/>
    <xf numFmtId="0" fontId="0" fillId="7" borderId="34" xfId="0" applyFill="1" applyBorder="1"/>
    <xf numFmtId="0" fontId="0" fillId="7" borderId="35" xfId="0" applyFill="1" applyBorder="1"/>
    <xf numFmtId="0" fontId="6" fillId="7" borderId="0" xfId="0" applyFont="1" applyFill="1" applyBorder="1"/>
    <xf numFmtId="0" fontId="14" fillId="7" borderId="26" xfId="0" applyFont="1" applyFill="1" applyBorder="1" applyAlignment="1">
      <alignment horizontal="center"/>
    </xf>
    <xf numFmtId="0" fontId="14" fillId="7" borderId="26" xfId="0" quotePrefix="1" applyFont="1" applyFill="1" applyBorder="1"/>
    <xf numFmtId="0" fontId="14" fillId="7" borderId="26" xfId="0" applyFont="1" applyFill="1" applyBorder="1"/>
    <xf numFmtId="0" fontId="14" fillId="7" borderId="27" xfId="0" applyFont="1" applyFill="1" applyBorder="1" applyAlignment="1">
      <alignment horizontal="center"/>
    </xf>
    <xf numFmtId="0" fontId="14" fillId="7" borderId="27" xfId="0" quotePrefix="1" applyFont="1" applyFill="1" applyBorder="1"/>
    <xf numFmtId="0" fontId="14" fillId="7" borderId="27" xfId="0" applyFont="1" applyFill="1" applyBorder="1"/>
    <xf numFmtId="0" fontId="0" fillId="0" borderId="0" xfId="0" applyAlignment="1">
      <alignment horizontal="right" indent="1"/>
    </xf>
    <xf numFmtId="0" fontId="16" fillId="7" borderId="0" xfId="0" applyFont="1" applyFill="1" applyBorder="1"/>
    <xf numFmtId="0" fontId="9" fillId="7" borderId="0" xfId="0" applyFont="1" applyFill="1" applyBorder="1"/>
    <xf numFmtId="0" fontId="19" fillId="8" borderId="0" xfId="0" applyFont="1" applyFill="1"/>
    <xf numFmtId="0" fontId="18" fillId="8" borderId="0" xfId="0" applyFont="1" applyFill="1"/>
    <xf numFmtId="0" fontId="0" fillId="0" borderId="3" xfId="0" applyBorder="1"/>
    <xf numFmtId="3" fontId="0" fillId="0" borderId="3" xfId="0" applyNumberFormat="1" applyBorder="1"/>
    <xf numFmtId="0" fontId="17" fillId="0" borderId="0" xfId="0" applyFont="1"/>
    <xf numFmtId="3" fontId="17" fillId="0" borderId="0" xfId="0" applyNumberFormat="1" applyFont="1"/>
    <xf numFmtId="0" fontId="17" fillId="9" borderId="37" xfId="0" applyFont="1" applyFill="1" applyBorder="1" applyAlignment="1">
      <alignment horizontal="right"/>
    </xf>
    <xf numFmtId="0" fontId="17" fillId="9" borderId="37" xfId="0" applyFont="1" applyFill="1" applyBorder="1" applyAlignment="1">
      <alignment horizontal="left"/>
    </xf>
    <xf numFmtId="0" fontId="7" fillId="7" borderId="38" xfId="0" applyFont="1" applyFill="1" applyBorder="1"/>
    <xf numFmtId="0" fontId="0" fillId="7" borderId="38" xfId="0" applyFill="1" applyBorder="1"/>
    <xf numFmtId="0" fontId="2" fillId="0" borderId="0" xfId="0" applyFont="1" applyAlignment="1">
      <alignment horizontal="right"/>
    </xf>
    <xf numFmtId="0" fontId="2" fillId="2" borderId="0" xfId="0" applyFont="1" applyFill="1"/>
    <xf numFmtId="10" fontId="2" fillId="2" borderId="0" xfId="0" applyNumberFormat="1" applyFont="1" applyFill="1" applyAlignment="1">
      <alignment horizontal="right"/>
    </xf>
    <xf numFmtId="10" fontId="2" fillId="2" borderId="0" xfId="0" applyNumberFormat="1" applyFont="1" applyFill="1"/>
    <xf numFmtId="169" fontId="3" fillId="0" borderId="0" xfId="0" applyNumberFormat="1" applyFont="1"/>
    <xf numFmtId="168" fontId="3" fillId="5" borderId="7" xfId="0" applyNumberFormat="1" applyFont="1" applyFill="1" applyBorder="1"/>
    <xf numFmtId="168" fontId="3" fillId="5" borderId="1" xfId="0" applyNumberFormat="1" applyFont="1" applyFill="1" applyBorder="1"/>
    <xf numFmtId="168" fontId="3" fillId="5" borderId="8" xfId="0" applyNumberFormat="1" applyFont="1" applyFill="1" applyBorder="1"/>
    <xf numFmtId="168" fontId="2" fillId="2" borderId="1" xfId="0" applyNumberFormat="1" applyFont="1" applyFill="1" applyBorder="1"/>
    <xf numFmtId="169" fontId="2" fillId="5" borderId="1" xfId="0" applyNumberFormat="1" applyFont="1" applyFill="1" applyBorder="1"/>
    <xf numFmtId="168" fontId="2" fillId="5" borderId="1" xfId="0" applyNumberFormat="1" applyFont="1" applyFill="1" applyBorder="1"/>
    <xf numFmtId="168" fontId="2" fillId="2" borderId="7" xfId="0" applyNumberFormat="1" applyFont="1" applyFill="1" applyBorder="1"/>
    <xf numFmtId="168" fontId="2" fillId="5" borderId="8" xfId="0" applyNumberFormat="1" applyFont="1" applyFill="1" applyBorder="1"/>
    <xf numFmtId="0" fontId="2" fillId="2" borderId="0" xfId="0" applyFont="1" applyFill="1" applyAlignment="1">
      <alignment horizontal="center"/>
    </xf>
    <xf numFmtId="168" fontId="2" fillId="2" borderId="0" xfId="0" applyNumberFormat="1" applyFont="1" applyFill="1"/>
    <xf numFmtId="169" fontId="2" fillId="5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8" fontId="2" fillId="5" borderId="0" xfId="0" applyNumberFormat="1" applyFont="1" applyFill="1"/>
    <xf numFmtId="168" fontId="2" fillId="5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168" fontId="2" fillId="2" borderId="9" xfId="0" applyNumberFormat="1" applyFont="1" applyFill="1" applyBorder="1"/>
    <xf numFmtId="168" fontId="2" fillId="5" borderId="10" xfId="0" applyNumberFormat="1" applyFont="1" applyFill="1" applyBorder="1"/>
    <xf numFmtId="168" fontId="2" fillId="2" borderId="12" xfId="0" applyNumberFormat="1" applyFont="1" applyFill="1" applyBorder="1"/>
    <xf numFmtId="169" fontId="2" fillId="5" borderId="12" xfId="0" applyNumberFormat="1" applyFont="1" applyFill="1" applyBorder="1"/>
    <xf numFmtId="168" fontId="2" fillId="5" borderId="12" xfId="0" applyNumberFormat="1" applyFont="1" applyFill="1" applyBorder="1"/>
    <xf numFmtId="168" fontId="2" fillId="2" borderId="11" xfId="0" applyNumberFormat="1" applyFont="1" applyFill="1" applyBorder="1"/>
    <xf numFmtId="168" fontId="2" fillId="5" borderId="13" xfId="0" applyNumberFormat="1" applyFont="1" applyFill="1" applyBorder="1"/>
    <xf numFmtId="3" fontId="3" fillId="2" borderId="10" xfId="0" applyNumberFormat="1" applyFont="1" applyFill="1" applyBorder="1" applyAlignment="1">
      <alignment horizontal="left"/>
    </xf>
    <xf numFmtId="0" fontId="6" fillId="7" borderId="36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21" fillId="7" borderId="0" xfId="3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35">
    <dxf>
      <alignment wrapText="1"/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general"/>
    </dxf>
    <dxf>
      <numFmt numFmtId="2" formatCode="0.0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alignment horizontal="right"/>
    </dxf>
    <dxf>
      <alignment horizontal="right"/>
    </dxf>
    <dxf>
      <numFmt numFmtId="2" formatCode="0.00"/>
    </dxf>
    <dxf>
      <alignment horizontal="right"/>
    </dxf>
    <dxf>
      <alignment horizontal="right"/>
    </dxf>
    <dxf>
      <numFmt numFmtId="2" formatCode="0.00"/>
    </dxf>
    <dxf>
      <alignment horizontal="right"/>
    </dxf>
    <dxf>
      <alignment horizontal="right"/>
    </dxf>
    <dxf>
      <numFmt numFmtId="2" formatCode="0.00"/>
    </dxf>
    <dxf>
      <alignment horizontal="right"/>
    </dxf>
    <dxf>
      <alignment horizontal="right"/>
    </dxf>
    <dxf>
      <alignment horizontal="right" indent="1"/>
    </dxf>
    <dxf>
      <numFmt numFmtId="2" formatCode="0.00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2" formatCode="0.00"/>
    </dxf>
    <dxf>
      <alignment horizontal="right"/>
    </dxf>
    <dxf>
      <numFmt numFmtId="3" formatCode="#,##0"/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ashflowmitoptionen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ashflowmitoptionen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ashflowmitoption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215898</xdr:colOff>
      <xdr:row>2</xdr:row>
      <xdr:rowOff>50800</xdr:rowOff>
    </xdr:from>
    <xdr:to>
      <xdr:col>13</xdr:col>
      <xdr:colOff>755649</xdr:colOff>
      <xdr:row>4</xdr:row>
      <xdr:rowOff>101601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01A32-C4A5-0F40-A8F3-83CBFA0F5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398" y="342900"/>
          <a:ext cx="2190751" cy="584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111125</xdr:rowOff>
    </xdr:from>
    <xdr:to>
      <xdr:col>4</xdr:col>
      <xdr:colOff>730250</xdr:colOff>
      <xdr:row>5</xdr:row>
      <xdr:rowOff>98426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BF89E-EE32-8641-8BD6-057CFC18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" y="349250"/>
          <a:ext cx="3524250" cy="93980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111125</xdr:rowOff>
    </xdr:from>
    <xdr:to>
      <xdr:col>4</xdr:col>
      <xdr:colOff>730250</xdr:colOff>
      <xdr:row>5</xdr:row>
      <xdr:rowOff>98426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093B31-67F8-7540-95DE-2A1E1D83A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00" y="352425"/>
          <a:ext cx="3511550" cy="952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368300</xdr:colOff>
      <xdr:row>2</xdr:row>
      <xdr:rowOff>12700</xdr:rowOff>
    </xdr:from>
    <xdr:to>
      <xdr:col>16</xdr:col>
      <xdr:colOff>558801</xdr:colOff>
      <xdr:row>4</xdr:row>
      <xdr:rowOff>127001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A5C35-E08E-1840-BFFC-7F448F9F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4800" y="419100"/>
          <a:ext cx="2667001" cy="71120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584.837525347219" createdVersion="7" refreshedVersion="7" minRefreshableVersion="3" recordCount="53" xr:uid="{39284A60-43E2-F94C-B489-B79B9119F4C5}">
  <cacheSource type="worksheet">
    <worksheetSource ref="B11:X64" sheet="CFMO- Trading Log"/>
  </cacheSource>
  <cacheFields count="23">
    <cacheField name="Open-Datum" numFmtId="0">
      <sharedItems containsNonDate="0" containsDate="1" containsString="0" containsBlank="1" minDate="2021-10-01T00:00:00" maxDate="2021-11-04T00:00:00"/>
    </cacheField>
    <cacheField name="Typ" numFmtId="0">
      <sharedItems containsBlank="1" count="4">
        <m/>
        <s v="Put"/>
        <s v="Aktie"/>
        <s v="Call"/>
      </sharedItems>
    </cacheField>
    <cacheField name="Ticker" numFmtId="0">
      <sharedItems containsBlank="1" count="10">
        <m/>
        <s v="AG"/>
        <s v="UPWK"/>
        <s v="GRWG"/>
        <s v="CHWY"/>
        <s v="WPM"/>
        <s v="ATVI"/>
        <s v="FUBO" u="1"/>
        <s v="SKLZ" u="1"/>
        <s v="LMND" u="1"/>
      </sharedItems>
    </cacheField>
    <cacheField name="Strike / Kaufpreis" numFmtId="0">
      <sharedItems containsString="0" containsBlank="1" containsNumber="1" minValue="11.5" maxValue="68"/>
    </cacheField>
    <cacheField name="Anzahl Aktien" numFmtId="0">
      <sharedItems containsString="0" containsBlank="1" containsNumber="1" containsInteger="1" minValue="100" maxValue="200"/>
    </cacheField>
    <cacheField name="Eingesetztes Kapital" numFmtId="169">
      <sharedItems containsSemiMixedTypes="0" containsString="0" containsNumber="1" containsInteger="1" minValue="0" maxValue="10900" count="9">
        <n v="10900"/>
        <n v="2300"/>
        <n v="4500"/>
        <n v="2000"/>
        <n v="2400"/>
        <n v="6800"/>
        <n v="4100"/>
        <n v="5800"/>
        <n v="0"/>
      </sharedItems>
    </cacheField>
    <cacheField name="Ausstehende Puts" numFmtId="169">
      <sharedItems containsSemiMixedTypes="0" containsString="0" containsNumber="1" containsInteger="1" minValue="0" maxValue="0"/>
    </cacheField>
    <cacheField name="Close-_x000a_Datum" numFmtId="0">
      <sharedItems containsNonDate="0" containsDate="1" containsString="0" containsBlank="1" minDate="2021-10-08T00:00:00" maxDate="2021-11-13T00:00:00"/>
    </cacheField>
    <cacheField name="Haltedauer (Tage)" numFmtId="0">
      <sharedItems containsBlank="1" containsMixedTypes="1" containsNumber="1" containsInteger="1" minValue="5" maxValue="15"/>
    </cacheField>
    <cacheField name="Monat (Steuer)" numFmtId="0">
      <sharedItems containsBlank="1" containsMixedTypes="1" containsNumber="1" containsInteger="1" minValue="10" maxValue="11" count="4">
        <m/>
        <n v="10"/>
        <s v=""/>
        <n v="11"/>
      </sharedItems>
    </cacheField>
    <cacheField name="Optionsprämie_x000a_(pro Aktie)" numFmtId="0">
      <sharedItems containsString="0" containsBlank="1" containsNumber="1" minValue="0.18" maxValue="0.8"/>
    </cacheField>
    <cacheField name="Verkaufspreis_x000a_(pro Aktie)" numFmtId="168">
      <sharedItems containsString="0" containsBlank="1" containsNumber="1" containsInteger="1" minValue="12" maxValue="12"/>
    </cacheField>
    <cacheField name="Gebühren_x000a_(gesamt)" numFmtId="168">
      <sharedItems containsString="0" containsBlank="1" containsNumber="1" minValue="0" maxValue="35"/>
    </cacheField>
    <cacheField name="Brutto G/V (n.G.)" numFmtId="168">
      <sharedItems containsSemiMixedTypes="0" containsString="0" containsNumber="1" minValue="0" maxValue="479"/>
    </cacheField>
    <cacheField name="Status" numFmtId="168">
      <sharedItems containsBlank="1" count="4">
        <m/>
        <s v="CLOSED"/>
        <s v="OPEN"/>
        <s v=""/>
      </sharedItems>
    </cacheField>
    <cacheField name="Zuweisung?" numFmtId="0">
      <sharedItems containsBlank="1"/>
    </cacheField>
    <cacheField name="Referenz" numFmtId="0">
      <sharedItems containsBlank="1" count="6">
        <m/>
        <s v="W0001"/>
        <s v="W0002"/>
        <s v="W0003"/>
        <s v="R0002" u="1"/>
        <s v="R0001" u="1"/>
      </sharedItems>
    </cacheField>
    <cacheField name="Kommentar" numFmtId="0">
      <sharedItems containsNonDate="0" containsString="0" containsBlank="1"/>
    </cacheField>
    <cacheField name="Bruttorendite (%)" numFmtId="165">
      <sharedItems containsSemiMixedTypes="0" containsString="0" containsNumber="1" minValue="0" maxValue="4.3478260869565216E-2"/>
    </cacheField>
    <cacheField name="Jahresrendite (%)" numFmtId="165">
      <sharedItems containsSemiMixedTypes="0" containsString="0" containsNumber="1" minValue="0" maxValue="1.9565217391304348"/>
    </cacheField>
    <cacheField name="Gewinn v.S. (EUR)" numFmtId="168">
      <sharedItems containsString="0" containsBlank="1" containsNumber="1" containsInteger="1" minValue="0" maxValue="0"/>
    </cacheField>
    <cacheField name="Kurs USD/EUR" numFmtId="168">
      <sharedItems/>
    </cacheField>
    <cacheField name="Steuer (EUR)" numFmtId="168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m/>
    <x v="0"/>
    <x v="0"/>
    <m/>
    <m/>
    <x v="0"/>
    <n v="0"/>
    <m/>
    <m/>
    <x v="0"/>
    <m/>
    <m/>
    <n v="35"/>
    <n v="479"/>
    <x v="0"/>
    <m/>
    <x v="0"/>
    <m/>
    <n v="7.9833333333333336E-3"/>
    <n v="0"/>
    <n v="0"/>
    <s v=""/>
    <n v="0"/>
  </r>
  <r>
    <d v="2021-10-01T00:00:00"/>
    <x v="1"/>
    <x v="1"/>
    <n v="11.5"/>
    <n v="200"/>
    <x v="1"/>
    <n v="0"/>
    <d v="2021-10-08T00:00:00"/>
    <n v="8"/>
    <x v="1"/>
    <n v="0.18"/>
    <m/>
    <n v="7"/>
    <n v="29"/>
    <x v="1"/>
    <s v="Ja"/>
    <x v="1"/>
    <m/>
    <n v="1.2608695652173913E-2"/>
    <n v="0.56739130434782614"/>
    <m/>
    <s v=""/>
    <n v="0"/>
  </r>
  <r>
    <d v="2021-10-08T00:00:00"/>
    <x v="2"/>
    <x v="1"/>
    <n v="11.5"/>
    <n v="200"/>
    <x v="1"/>
    <n v="0"/>
    <d v="2021-10-15T00:00:00"/>
    <n v="8"/>
    <x v="1"/>
    <m/>
    <n v="12"/>
    <n v="0"/>
    <n v="100"/>
    <x v="1"/>
    <s v="Nein"/>
    <x v="1"/>
    <m/>
    <n v="4.3478260869565216E-2"/>
    <n v="1.9565217391304348"/>
    <m/>
    <s v=""/>
    <n v="0"/>
  </r>
  <r>
    <d v="2021-10-01T00:00:00"/>
    <x v="1"/>
    <x v="2"/>
    <n v="45"/>
    <n v="100"/>
    <x v="2"/>
    <n v="0"/>
    <d v="2021-10-15T00:00:00"/>
    <n v="15"/>
    <x v="1"/>
    <n v="0.63"/>
    <m/>
    <n v="3.5"/>
    <n v="59.5"/>
    <x v="1"/>
    <s v="Nein"/>
    <x v="0"/>
    <m/>
    <n v="1.3222222222222222E-2"/>
    <n v="0.3173333333333333"/>
    <m/>
    <s v=""/>
    <n v="0"/>
  </r>
  <r>
    <d v="2021-10-01T00:00:00"/>
    <x v="1"/>
    <x v="3"/>
    <n v="20"/>
    <n v="100"/>
    <x v="3"/>
    <n v="0"/>
    <d v="2021-10-15T00:00:00"/>
    <n v="15"/>
    <x v="1"/>
    <n v="0.33"/>
    <m/>
    <n v="3.5"/>
    <n v="29.5"/>
    <x v="1"/>
    <s v="Nein"/>
    <x v="0"/>
    <m/>
    <n v="1.4749999999999999E-2"/>
    <n v="0.35399999999999998"/>
    <m/>
    <s v=""/>
    <n v="0"/>
  </r>
  <r>
    <d v="2021-10-11T00:00:00"/>
    <x v="3"/>
    <x v="1"/>
    <n v="12"/>
    <n v="200"/>
    <x v="4"/>
    <n v="0"/>
    <d v="2021-10-15T00:00:00"/>
    <n v="5"/>
    <x v="1"/>
    <n v="0.18"/>
    <m/>
    <n v="7"/>
    <n v="29"/>
    <x v="1"/>
    <s v="Ja"/>
    <x v="1"/>
    <m/>
    <n v="1.2083333333333333E-2"/>
    <n v="0.87"/>
    <m/>
    <s v=""/>
    <n v="0"/>
  </r>
  <r>
    <d v="2021-10-11T00:00:00"/>
    <x v="1"/>
    <x v="4"/>
    <n v="68"/>
    <n v="100"/>
    <x v="5"/>
    <n v="0"/>
    <d v="2021-10-15T00:00:00"/>
    <n v="5"/>
    <x v="1"/>
    <n v="0.53"/>
    <m/>
    <n v="3.5"/>
    <n v="49.5"/>
    <x v="1"/>
    <s v="Ja"/>
    <x v="2"/>
    <m/>
    <n v="7.2794117647058823E-3"/>
    <n v="0.52411764705882347"/>
    <m/>
    <s v=""/>
    <n v="0"/>
  </r>
  <r>
    <d v="2021-10-15T00:00:00"/>
    <x v="2"/>
    <x v="4"/>
    <n v="68"/>
    <n v="100"/>
    <x v="5"/>
    <n v="0"/>
    <m/>
    <s v=""/>
    <x v="2"/>
    <m/>
    <m/>
    <m/>
    <n v="0"/>
    <x v="2"/>
    <s v="Nein"/>
    <x v="2"/>
    <m/>
    <n v="0"/>
    <n v="0"/>
    <m/>
    <s v=""/>
    <n v="0"/>
  </r>
  <r>
    <d v="2021-10-19T00:00:00"/>
    <x v="1"/>
    <x v="5"/>
    <n v="41"/>
    <n v="100"/>
    <x v="6"/>
    <n v="0"/>
    <d v="2021-10-29T00:00:00"/>
    <n v="11"/>
    <x v="1"/>
    <n v="0.8"/>
    <m/>
    <n v="3.5"/>
    <n v="76.5"/>
    <x v="1"/>
    <s v="Ja"/>
    <x v="3"/>
    <m/>
    <n v="1.8658536585365853E-2"/>
    <n v="0.61064301552106426"/>
    <m/>
    <s v=""/>
    <n v="0"/>
  </r>
  <r>
    <d v="2021-10-19T00:00:00"/>
    <x v="3"/>
    <x v="4"/>
    <n v="68"/>
    <n v="100"/>
    <x v="5"/>
    <n v="0"/>
    <d v="2021-10-29T00:00:00"/>
    <n v="11"/>
    <x v="1"/>
    <n v="0.63"/>
    <m/>
    <n v="3.5"/>
    <n v="59.5"/>
    <x v="1"/>
    <m/>
    <x v="2"/>
    <m/>
    <n v="8.7500000000000008E-3"/>
    <n v="0.28636363636363638"/>
    <m/>
    <s v=""/>
    <n v="0"/>
  </r>
  <r>
    <d v="2021-10-29T00:00:00"/>
    <x v="2"/>
    <x v="5"/>
    <n v="41"/>
    <n v="100"/>
    <x v="6"/>
    <n v="0"/>
    <m/>
    <s v=""/>
    <x v="2"/>
    <m/>
    <m/>
    <m/>
    <n v="0"/>
    <x v="2"/>
    <m/>
    <x v="3"/>
    <m/>
    <n v="0"/>
    <n v="0"/>
    <m/>
    <s v=""/>
    <n v="0"/>
  </r>
  <r>
    <d v="2021-11-03T00:00:00"/>
    <x v="1"/>
    <x v="6"/>
    <n v="58"/>
    <n v="100"/>
    <x v="7"/>
    <n v="0"/>
    <d v="2021-11-12T00:00:00"/>
    <n v="10"/>
    <x v="3"/>
    <n v="0.5"/>
    <m/>
    <n v="3.5"/>
    <n v="46.5"/>
    <x v="1"/>
    <s v="Nein"/>
    <x v="0"/>
    <m/>
    <n v="8.0172413793103449E-3"/>
    <n v="0.2886206896551724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  <r>
    <m/>
    <x v="0"/>
    <x v="0"/>
    <m/>
    <m/>
    <x v="8"/>
    <n v="0"/>
    <m/>
    <s v=""/>
    <x v="2"/>
    <m/>
    <m/>
    <m/>
    <n v="0"/>
    <x v="3"/>
    <m/>
    <x v="0"/>
    <m/>
    <n v="0"/>
    <n v="0"/>
    <m/>
    <s v="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22AD49-DBF4-9945-A551-60374F4521B7}" name="PivotTable1" cacheId="1533" applyNumberFormats="0" applyBorderFormats="0" applyFontFormats="0" applyPatternFormats="0" applyAlignmentFormats="0" applyWidthHeightFormats="1" dataCaption="Werte" updatedVersion="7" minRefreshableVersion="3" itemPrintTitles="1" createdVersion="7" indent="0" outline="1" outlineData="1" multipleFieldFilters="0">
  <location ref="A5:C9" firstHeaderRow="1" firstDataRow="2" firstDataCol="1" rowPageCount="1" colPageCount="1"/>
  <pivotFields count="23">
    <pivotField showAll="0"/>
    <pivotField axis="axisCol" showAll="0">
      <items count="5">
        <item x="2"/>
        <item h="1" x="3"/>
        <item x="1"/>
        <item h="1" x="0"/>
        <item t="default"/>
      </items>
    </pivotField>
    <pivotField axis="axisRow" showAll="0">
      <items count="11">
        <item x="0"/>
        <item x="2"/>
        <item m="1" x="8"/>
        <item m="1" x="9"/>
        <item x="3"/>
        <item x="4"/>
        <item m="1" x="7"/>
        <item x="6"/>
        <item x="1"/>
        <item x="5"/>
        <item t="default"/>
      </items>
    </pivotField>
    <pivotField showAll="0"/>
    <pivotField showAll="0"/>
    <pivotField dataField="1" numFmtId="169" showAll="0">
      <items count="10">
        <item x="8"/>
        <item x="3"/>
        <item x="1"/>
        <item x="4"/>
        <item x="6"/>
        <item x="2"/>
        <item x="7"/>
        <item x="5"/>
        <item x="0"/>
        <item t="default"/>
      </items>
    </pivotField>
    <pivotField numFmtId="169"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5">
        <item h="1" x="3"/>
        <item h="1" x="1"/>
        <item h="1" x="0"/>
        <item x="2"/>
        <item t="default"/>
      </items>
    </pivotField>
    <pivotField showAll="0"/>
    <pivotField showAll="0"/>
    <pivotField showAll="0"/>
    <pivotField numFmtId="165" showAll="0"/>
    <pivotField numFmtId="165" showAll="0"/>
    <pivotField showAll="0"/>
    <pivotField showAll="0"/>
    <pivotField numFmtId="168" showAll="0"/>
  </pivotFields>
  <rowFields count="1">
    <field x="2"/>
  </rowFields>
  <rowItems count="3">
    <i>
      <x v="5"/>
    </i>
    <i>
      <x v="9"/>
    </i>
    <i t="grand">
      <x/>
    </i>
  </rowItems>
  <colFields count="1">
    <field x="1"/>
  </colFields>
  <colItems count="2">
    <i>
      <x/>
    </i>
    <i t="grand">
      <x/>
    </i>
  </colItems>
  <pageFields count="1">
    <pageField fld="14" hier="-1"/>
  </pageFields>
  <dataFields count="1">
    <dataField name="Summe von Eingesetztes Kapital" fld="5" baseField="0" baseItem="0"/>
  </dataFields>
  <formats count="3">
    <format dxfId="34">
      <pivotArea dataOnly="0" labelOnly="1" fieldPosition="0">
        <references count="1">
          <reference field="1" count="0"/>
        </references>
      </pivotArea>
    </format>
    <format dxfId="33">
      <pivotArea dataOnly="0" labelOnly="1" grandCol="1" outline="0" fieldPosition="0"/>
    </format>
    <format dxfId="3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F44711-B553-D14A-A686-D982EC00A8FF}" name="PivotTable2" cacheId="1533" applyNumberFormats="0" applyBorderFormats="0" applyFontFormats="0" applyPatternFormats="0" applyAlignmentFormats="0" applyWidthHeightFormats="1" dataCaption="Werte" updatedVersion="7" minRefreshableVersion="3" itemPrintTitles="1" createdVersion="7" indent="0" outline="1" outlineData="1" multipleFieldFilters="0">
  <location ref="G6:K20" firstHeaderRow="1" firstDataRow="2" firstDataCol="1" rowPageCount="2" colPageCount="1"/>
  <pivotFields count="23">
    <pivotField showAll="0"/>
    <pivotField axis="axisCol" showAll="0">
      <items count="5">
        <item x="2"/>
        <item x="3"/>
        <item x="1"/>
        <item h="1" x="0"/>
        <item t="default"/>
      </items>
    </pivotField>
    <pivotField axis="axisRow" showAll="0">
      <items count="11">
        <item x="0"/>
        <item x="2"/>
        <item m="1" x="8"/>
        <item m="1" x="9"/>
        <item x="3"/>
        <item x="4"/>
        <item m="1" x="7"/>
        <item x="6"/>
        <item x="1"/>
        <item x="5"/>
        <item t="default"/>
      </items>
    </pivotField>
    <pivotField showAll="0"/>
    <pivotField showAll="0"/>
    <pivotField numFmtId="169" showAll="0"/>
    <pivotField numFmtId="169" showAll="0"/>
    <pivotField showAll="0"/>
    <pivotField showAll="0"/>
    <pivotField axis="axisPage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5">
        <item h="1" x="3"/>
        <item x="1"/>
        <item h="1" x="0"/>
        <item h="1" x="2"/>
        <item t="default"/>
      </items>
    </pivotField>
    <pivotField showAll="0"/>
    <pivotField axis="axisRow" showAll="0">
      <items count="7">
        <item m="1" x="5"/>
        <item m="1" x="4"/>
        <item x="1"/>
        <item x="2"/>
        <item x="0"/>
        <item x="3"/>
        <item t="default"/>
      </items>
    </pivotField>
    <pivotField showAll="0"/>
    <pivotField numFmtId="165" showAll="0"/>
    <pivotField numFmtId="165" showAll="0"/>
    <pivotField showAll="0"/>
    <pivotField showAll="0"/>
    <pivotField numFmtId="168" showAll="0"/>
  </pivotFields>
  <rowFields count="2">
    <field x="2"/>
    <field x="16"/>
  </rowFields>
  <rowItems count="13">
    <i>
      <x v="1"/>
    </i>
    <i r="1">
      <x v="4"/>
    </i>
    <i>
      <x v="4"/>
    </i>
    <i r="1">
      <x v="4"/>
    </i>
    <i>
      <x v="5"/>
    </i>
    <i r="1">
      <x v="3"/>
    </i>
    <i>
      <x v="7"/>
    </i>
    <i r="1">
      <x v="4"/>
    </i>
    <i>
      <x v="8"/>
    </i>
    <i r="1">
      <x v="2"/>
    </i>
    <i>
      <x v="9"/>
    </i>
    <i r="1">
      <x v="5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2">
    <pageField fld="14" hier="-1"/>
    <pageField fld="9" hier="-1"/>
  </pageFields>
  <formats count="4">
    <format dxfId="27">
      <pivotArea dataOnly="0" labelOnly="1" fieldPosition="0">
        <references count="1">
          <reference field="1" count="0"/>
        </references>
      </pivotArea>
    </format>
    <format dxfId="26">
      <pivotArea dataOnly="0" labelOnly="1" grandCol="1" outline="0" fieldPosition="0"/>
    </format>
    <format dxfId="25">
      <pivotArea outline="0" collapsedLevelsAreSubtotals="1" fieldPosition="0"/>
    </format>
    <format dxfId="24">
      <pivotArea dataOnly="0" labelOnly="1" fieldPosition="0">
        <references count="1">
          <reference field="1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4ABAF3-C7FE-F24C-B1C9-208175D43CC0}" name="PivotTable1" cacheId="1533" applyNumberFormats="0" applyBorderFormats="0" applyFontFormats="0" applyPatternFormats="0" applyAlignmentFormats="0" applyWidthHeightFormats="1" dataCaption="Werte" updatedVersion="7" minRefreshableVersion="3" itemPrintTitles="1" createdVersion="7" indent="0" outline="1" outlineData="1" multipleFieldFilters="0">
  <location ref="A6:E20" firstHeaderRow="1" firstDataRow="2" firstDataCol="1" rowPageCount="2" colPageCount="1"/>
  <pivotFields count="23">
    <pivotField showAll="0"/>
    <pivotField axis="axisCol" showAll="0">
      <items count="5">
        <item x="2"/>
        <item x="3"/>
        <item x="1"/>
        <item x="0"/>
        <item t="default"/>
      </items>
    </pivotField>
    <pivotField axis="axisRow" showAll="0" sortType="descending">
      <items count="11">
        <item x="0"/>
        <item x="2"/>
        <item m="1" x="8"/>
        <item m="1" x="9"/>
        <item x="3"/>
        <item x="4"/>
        <item m="1" x="7"/>
        <item x="6"/>
        <item x="1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69" showAll="0"/>
    <pivotField numFmtId="169" showAll="0"/>
    <pivotField showAll="0"/>
    <pivotField showAll="0"/>
    <pivotField axis="axisPage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dataField="1" showAll="0"/>
    <pivotField axis="axisPage" multipleItemSelectionAllowed="1" showAll="0">
      <items count="5">
        <item h="1" x="3"/>
        <item x="1"/>
        <item h="1" x="0"/>
        <item h="1" x="2"/>
        <item t="default"/>
      </items>
    </pivotField>
    <pivotField showAll="0"/>
    <pivotField axis="axisRow" showAll="0">
      <items count="7">
        <item m="1" x="5"/>
        <item m="1" x="4"/>
        <item x="0"/>
        <item x="1"/>
        <item x="2"/>
        <item x="3"/>
        <item t="default"/>
      </items>
    </pivotField>
    <pivotField showAll="0"/>
    <pivotField numFmtId="165" showAll="0"/>
    <pivotField numFmtId="165" showAll="0"/>
    <pivotField showAll="0"/>
    <pivotField showAll="0"/>
    <pivotField numFmtId="168" showAll="0"/>
  </pivotFields>
  <rowFields count="2">
    <field x="2"/>
    <field x="16"/>
  </rowFields>
  <rowItems count="13">
    <i>
      <x v="8"/>
    </i>
    <i r="1">
      <x v="3"/>
    </i>
    <i>
      <x v="5"/>
    </i>
    <i r="1">
      <x v="4"/>
    </i>
    <i>
      <x v="9"/>
    </i>
    <i r="1">
      <x v="5"/>
    </i>
    <i>
      <x v="1"/>
    </i>
    <i r="1">
      <x v="2"/>
    </i>
    <i>
      <x v="7"/>
    </i>
    <i r="1">
      <x v="2"/>
    </i>
    <i>
      <x v="4"/>
    </i>
    <i r="1"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2">
    <pageField fld="14" hier="-1"/>
    <pageField fld="9" hier="-1"/>
  </pageFields>
  <dataFields count="1">
    <dataField name="Summe von Brutto G/V (n.G.)" fld="13" baseField="0" baseItem="0" numFmtId="2"/>
  </dataFields>
  <formats count="4">
    <format dxfId="31">
      <pivotArea dataOnly="0" labelOnly="1" grandCol="1" outline="0" fieldPosition="0"/>
    </format>
    <format dxfId="30">
      <pivotArea outline="0" collapsedLevelsAreSubtotals="1" fieldPosition="0"/>
    </format>
    <format dxfId="29">
      <pivotArea dataOnly="0" labelOnly="1" fieldPosition="0">
        <references count="1">
          <reference field="16" count="0"/>
        </references>
      </pivotArea>
    </format>
    <format dxfId="28">
      <pivotArea dataOnly="0" labelOnly="1" fieldPosition="0">
        <references count="1">
          <reference field="1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2CE753-85F8-2240-8313-7BED0F5F1F41}" name="PivotTable1" cacheId="1533" applyNumberFormats="0" applyBorderFormats="0" applyFontFormats="0" applyPatternFormats="0" applyAlignmentFormats="0" applyWidthHeightFormats="1" dataCaption="Werte" updatedVersion="7" minRefreshableVersion="3" itemPrintTitles="1" createdVersion="7" indent="0" outline="1" outlineData="1" multipleFieldFilters="0">
  <location ref="A6:E10" firstHeaderRow="1" firstDataRow="2" firstDataCol="1" rowPageCount="2" colPageCount="1"/>
  <pivotFields count="23">
    <pivotField showAll="0"/>
    <pivotField axis="axisCol" showAll="0">
      <items count="5">
        <item x="2"/>
        <item x="3"/>
        <item x="1"/>
        <item h="1" x="0"/>
        <item t="default"/>
      </items>
    </pivotField>
    <pivotField axis="axisPage" showAll="0" sortType="descending">
      <items count="11">
        <item x="0"/>
        <item x="2"/>
        <item m="1" x="8"/>
        <item m="1" x="9"/>
        <item x="3"/>
        <item x="4"/>
        <item m="1" x="7"/>
        <item x="6"/>
        <item x="1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69" showAll="0"/>
    <pivotField numFmtId="169"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dataField="1" showAll="0"/>
    <pivotField axis="axisPage" multipleItemSelectionAllowed="1" showAll="0">
      <items count="5">
        <item h="1" x="3"/>
        <item x="1"/>
        <item h="1" x="0"/>
        <item h="1" x="2"/>
        <item t="default"/>
      </items>
    </pivotField>
    <pivotField showAll="0"/>
    <pivotField showAll="0"/>
    <pivotField showAll="0"/>
    <pivotField numFmtId="165" showAll="0"/>
    <pivotField numFmtId="165" showAll="0"/>
    <pivotField showAll="0"/>
    <pivotField showAll="0"/>
    <pivotField numFmtId="168" showAll="0"/>
  </pivotFields>
  <rowFields count="1">
    <field x="9"/>
  </rowFields>
  <rowItems count="3">
    <i>
      <x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2">
    <pageField fld="14" hier="-1"/>
    <pageField fld="2" hier="-1"/>
  </pageFields>
  <dataFields count="1">
    <dataField name="Summe von Brutto G/V (n.G.)" fld="13" baseField="0" baseItem="0" numFmtId="2"/>
  </dataFields>
  <formats count="3"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Col="1" outline="0" fieldPosition="0"/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6EADE-FB44-7B44-9B71-35E9988C1B8A}" name="PivotTable2" cacheId="1533" applyNumberFormats="0" applyBorderFormats="0" applyFontFormats="0" applyPatternFormats="0" applyAlignmentFormats="0" applyWidthHeightFormats="1" dataCaption="Werte" updatedVersion="7" minRefreshableVersion="3" itemPrintTitles="1" createdVersion="7" indent="0" outline="1" outlineData="1" multipleFieldFilters="0">
  <location ref="G6:K10" firstHeaderRow="1" firstDataRow="2" firstDataCol="1" rowPageCount="2" colPageCount="1"/>
  <pivotFields count="23">
    <pivotField showAll="0"/>
    <pivotField axis="axisCol" showAll="0">
      <items count="5">
        <item x="2"/>
        <item x="3"/>
        <item x="1"/>
        <item h="1" x="0"/>
        <item t="default"/>
      </items>
    </pivotField>
    <pivotField axis="axisPage" showAll="0">
      <items count="11">
        <item x="0"/>
        <item x="2"/>
        <item m="1" x="8"/>
        <item m="1" x="9"/>
        <item x="3"/>
        <item x="4"/>
        <item m="1" x="7"/>
        <item x="6"/>
        <item x="1"/>
        <item x="5"/>
        <item t="default"/>
      </items>
    </pivotField>
    <pivotField showAll="0"/>
    <pivotField showAll="0"/>
    <pivotField numFmtId="169" showAll="0"/>
    <pivotField numFmtId="169"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5">
        <item h="1" x="3"/>
        <item x="1"/>
        <item h="1" x="0"/>
        <item h="1" x="2"/>
        <item t="default"/>
      </items>
    </pivotField>
    <pivotField showAll="0"/>
    <pivotField showAll="0"/>
    <pivotField showAll="0"/>
    <pivotField numFmtId="165" showAll="0"/>
    <pivotField numFmtId="165" showAll="0"/>
    <pivotField showAll="0"/>
    <pivotField showAll="0"/>
    <pivotField numFmtId="168" showAll="0"/>
  </pivotFields>
  <rowFields count="1">
    <field x="9"/>
  </rowFields>
  <rowItems count="3">
    <i>
      <x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2">
    <pageField fld="14" hier="-1"/>
    <pageField fld="2" hier="-1"/>
  </pageFields>
  <formats count="3">
    <format dxfId="23">
      <pivotArea dataOnly="0" labelOnly="1" fieldPosition="0">
        <references count="1">
          <reference field="1" count="0"/>
        </references>
      </pivotArea>
    </format>
    <format dxfId="22">
      <pivotArea dataOnly="0" labelOnly="1" grandCol="1" outline="0" fieldPosition="0"/>
    </format>
    <format dxfId="2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3A89E4-A4B5-DA40-B35F-7862D838EA82}" name="PivotTable4" cacheId="1533" applyNumberFormats="0" applyBorderFormats="0" applyFontFormats="0" applyPatternFormats="0" applyAlignmentFormats="0" applyWidthHeightFormats="1" dataCaption="Werte" updatedVersion="7" minRefreshableVersion="3" colGrandTotals="0" itemPrintTitles="1" createdVersion="7" indent="0" outline="1" outlineData="1" multipleFieldFilters="0">
  <location ref="L5:N10" firstHeaderRow="1" firstDataRow="3" firstDataCol="1" rowPageCount="1" colPageCount="1"/>
  <pivotFields count="23">
    <pivotField showAll="0"/>
    <pivotField axis="axisCol" multipleItemSelectionAllowed="1" showAll="0">
      <items count="5">
        <item x="2"/>
        <item h="1" x="3"/>
        <item h="1" x="1"/>
        <item h="1" x="0"/>
        <item t="default"/>
      </items>
    </pivotField>
    <pivotField axis="axisRow" showAll="0">
      <items count="11">
        <item x="0"/>
        <item x="2"/>
        <item m="1" x="8"/>
        <item m="1" x="9"/>
        <item x="3"/>
        <item x="4"/>
        <item m="1" x="7"/>
        <item x="6"/>
        <item x="1"/>
        <item x="5"/>
        <item t="default"/>
      </items>
    </pivotField>
    <pivotField showAll="0"/>
    <pivotField showAll="0"/>
    <pivotField numFmtId="169" showAll="0"/>
    <pivotField numFmtId="169"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5">
        <item h="1" x="3"/>
        <item x="1"/>
        <item h="1" x="0"/>
        <item h="1" x="2"/>
        <item t="default"/>
      </items>
    </pivotField>
    <pivotField showAll="0"/>
    <pivotField showAll="0"/>
    <pivotField showAll="0"/>
    <pivotField numFmtId="165" showAll="0"/>
    <pivotField numFmtId="165" showAll="0"/>
    <pivotField dataField="1" showAll="0"/>
    <pivotField showAll="0"/>
    <pivotField dataField="1" numFmtId="168" showAll="0"/>
  </pivotFields>
  <rowFields count="2">
    <field x="9"/>
    <field x="2"/>
  </rowFields>
  <rowItems count="3">
    <i>
      <x/>
    </i>
    <i r="1">
      <x v="8"/>
    </i>
    <i t="grand">
      <x/>
    </i>
  </rowItems>
  <colFields count="2">
    <field x="1"/>
    <field x="-2"/>
  </colFields>
  <colItems count="2">
    <i>
      <x/>
      <x/>
    </i>
    <i r="1" i="1">
      <x v="1"/>
    </i>
  </colItems>
  <pageFields count="1">
    <pageField fld="14" hier="-1"/>
  </pageFields>
  <dataFields count="2">
    <dataField name="G/V v.S." fld="20" baseField="0" baseItem="0"/>
    <dataField name="Steuer" fld="22" baseField="0" baseItem="0"/>
  </dataFields>
  <formats count="10"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Col="1" outline="0" fieldPosition="0"/>
    </format>
    <format dxfId="7">
      <pivotArea outline="0" collapsedLevelsAreSubtotals="1" fieldPosition="0"/>
    </format>
    <format dxfId="6">
      <pivotArea dataOnly="0" labelOnly="1" fieldPosition="0">
        <references count="1">
          <reference field="1" count="1">
            <x v="2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1" count="0" selected="0"/>
        </references>
      </pivotArea>
    </format>
    <format dxfId="4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1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4AD7F5-D772-3C42-8219-600AA95984B7}" name="PivotTable2" cacheId="1533" applyNumberFormats="0" applyBorderFormats="0" applyFontFormats="0" applyPatternFormats="0" applyAlignmentFormats="0" applyWidthHeightFormats="1" dataCaption="Werte" updatedVersion="7" minRefreshableVersion="3" itemPrintTitles="1" createdVersion="7" indent="0" outline="1" outlineData="1" multipleFieldFilters="0">
  <location ref="A5:G16" firstHeaderRow="1" firstDataRow="3" firstDataCol="1" rowPageCount="1" colPageCount="1"/>
  <pivotFields count="23">
    <pivotField showAll="0"/>
    <pivotField axis="axisCol" multipleItemSelectionAllowed="1" showAll="0">
      <items count="5">
        <item h="1" x="2"/>
        <item x="3"/>
        <item x="1"/>
        <item h="1" x="0"/>
        <item t="default"/>
      </items>
    </pivotField>
    <pivotField axis="axisRow" showAll="0">
      <items count="11">
        <item x="0"/>
        <item x="2"/>
        <item m="1" x="8"/>
        <item m="1" x="9"/>
        <item x="3"/>
        <item x="4"/>
        <item m="1" x="7"/>
        <item x="6"/>
        <item x="1"/>
        <item x="5"/>
        <item t="default"/>
      </items>
    </pivotField>
    <pivotField showAll="0"/>
    <pivotField showAll="0"/>
    <pivotField numFmtId="169" showAll="0"/>
    <pivotField numFmtId="169"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5">
        <item h="1" x="3"/>
        <item x="1"/>
        <item h="1" x="0"/>
        <item h="1" x="2"/>
        <item t="default"/>
      </items>
    </pivotField>
    <pivotField showAll="0"/>
    <pivotField showAll="0"/>
    <pivotField showAll="0"/>
    <pivotField numFmtId="165" showAll="0"/>
    <pivotField numFmtId="165" showAll="0"/>
    <pivotField dataField="1" showAll="0"/>
    <pivotField showAll="0"/>
    <pivotField dataField="1" numFmtId="168" showAll="0"/>
  </pivotFields>
  <rowFields count="2">
    <field x="9"/>
    <field x="2"/>
  </rowFields>
  <rowItems count="9">
    <i>
      <x/>
    </i>
    <i r="1">
      <x v="1"/>
    </i>
    <i r="1">
      <x v="4"/>
    </i>
    <i r="1">
      <x v="5"/>
    </i>
    <i r="1">
      <x v="8"/>
    </i>
    <i r="1">
      <x v="9"/>
    </i>
    <i>
      <x v="3"/>
    </i>
    <i r="1">
      <x v="7"/>
    </i>
    <i t="grand">
      <x/>
    </i>
  </rowItems>
  <colFields count="2">
    <field x="1"/>
    <field x="-2"/>
  </colFields>
  <colItems count="6"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14" hier="-1"/>
  </pageFields>
  <dataFields count="2">
    <dataField name="G/V v.S." fld="20" baseField="0" baseItem="0"/>
    <dataField name="Steuer" fld="22" baseField="0" baseItem="0"/>
  </dataFields>
  <formats count="8">
    <format dxfId="17">
      <pivotArea dataOnly="0" labelOnly="1" fieldPosition="0">
        <references count="1">
          <reference field="1" count="0"/>
        </references>
      </pivotArea>
    </format>
    <format dxfId="16">
      <pivotArea dataOnly="0" labelOnly="1" grandCol="1" outline="0" fieldPosition="0"/>
    </format>
    <format dxfId="15">
      <pivotArea outline="0" collapsedLevelsAreSubtotals="1" fieldPosition="0"/>
    </format>
    <format dxfId="14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12">
      <pivotArea dataOnly="0" labelOnly="1" fieldPosition="0">
        <references count="1">
          <reference field="1" count="1">
            <x v="2"/>
          </reference>
        </references>
      </pivotArea>
    </format>
    <format dxfId="11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92EF-6BB7-5549-863E-19FCEEAF832D}">
  <sheetPr>
    <tabColor theme="0"/>
    <pageSetUpPr fitToPage="1"/>
  </sheetPr>
  <dimension ref="B2:P67"/>
  <sheetViews>
    <sheetView showGridLines="0" topLeftCell="A33" workbookViewId="0">
      <selection activeCell="G55" sqref="G55"/>
    </sheetView>
  </sheetViews>
  <sheetFormatPr baseColWidth="10" defaultRowHeight="16"/>
  <cols>
    <col min="1" max="1" width="5.1640625" style="84" customWidth="1"/>
    <col min="2" max="2" width="1.5" style="84" customWidth="1"/>
    <col min="3" max="14" width="10.83203125" style="84"/>
    <col min="15" max="15" width="4.1640625" style="84" customWidth="1"/>
    <col min="16" max="16" width="1.5" style="84" customWidth="1"/>
    <col min="17" max="16384" width="10.83203125" style="84"/>
  </cols>
  <sheetData>
    <row r="2" spans="2:16" ht="7" customHeight="1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2:16" ht="26">
      <c r="B3" s="86"/>
      <c r="C3" s="110" t="s">
        <v>39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</row>
    <row r="4" spans="2:16">
      <c r="B4" s="86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6"/>
    </row>
    <row r="5" spans="2:16">
      <c r="B5" s="86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</row>
    <row r="6" spans="2:16" ht="24">
      <c r="B6" s="86"/>
      <c r="C6" s="109" t="s">
        <v>54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6"/>
    </row>
    <row r="7" spans="2:16" ht="21">
      <c r="B7" s="86"/>
      <c r="C7" s="89" t="s">
        <v>55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6"/>
    </row>
    <row r="8" spans="2:16" ht="9" customHeight="1">
      <c r="B8" s="86"/>
      <c r="C8" s="89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6"/>
    </row>
    <row r="9" spans="2:16" ht="21">
      <c r="B9" s="86"/>
      <c r="C9" s="89" t="s">
        <v>56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</row>
    <row r="10" spans="2:16" ht="21">
      <c r="B10" s="86"/>
      <c r="C10" s="89" t="s">
        <v>57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6"/>
    </row>
    <row r="11" spans="2:16" ht="21">
      <c r="B11" s="86"/>
      <c r="C11" s="89" t="s">
        <v>58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6"/>
    </row>
    <row r="12" spans="2:16" ht="21">
      <c r="B12" s="86"/>
      <c r="C12" s="89" t="s">
        <v>59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2:16" ht="21">
      <c r="B13" s="86"/>
      <c r="C13" s="89" t="s">
        <v>60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6"/>
    </row>
    <row r="14" spans="2:16" ht="21">
      <c r="B14" s="86"/>
      <c r="C14" s="89" t="s">
        <v>61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/>
    </row>
    <row r="15" spans="2:16" ht="9" customHeight="1" thickBot="1">
      <c r="B15" s="86"/>
      <c r="C15" s="89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</row>
    <row r="16" spans="2:16" ht="22" thickTop="1">
      <c r="B16" s="86"/>
      <c r="C16" s="93" t="s">
        <v>62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5"/>
      <c r="P16" s="86"/>
    </row>
    <row r="17" spans="2:16" ht="21">
      <c r="B17" s="86"/>
      <c r="C17" s="96" t="s">
        <v>63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97"/>
      <c r="P17" s="86"/>
    </row>
    <row r="18" spans="2:16" ht="22" thickBot="1">
      <c r="B18" s="86"/>
      <c r="C18" s="98" t="s">
        <v>64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00"/>
      <c r="P18" s="86"/>
    </row>
    <row r="19" spans="2:16" ht="9" customHeight="1" thickTop="1">
      <c r="B19" s="86"/>
      <c r="C19" s="89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6"/>
    </row>
    <row r="20" spans="2:16" ht="21">
      <c r="B20" s="86"/>
      <c r="C20" s="89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/>
    </row>
    <row r="21" spans="2:16" ht="24">
      <c r="B21" s="86"/>
      <c r="C21" s="109" t="s">
        <v>65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6"/>
    </row>
    <row r="22" spans="2:16" ht="21">
      <c r="B22" s="86"/>
      <c r="C22" s="89" t="s">
        <v>67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6"/>
    </row>
    <row r="23" spans="2:16" ht="21">
      <c r="B23" s="86"/>
      <c r="C23" s="89" t="s">
        <v>66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6"/>
    </row>
    <row r="24" spans="2:16" ht="9" customHeight="1">
      <c r="B24" s="86"/>
      <c r="C24" s="89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6"/>
    </row>
    <row r="25" spans="2:16" ht="21">
      <c r="B25" s="86"/>
      <c r="C25" s="89" t="s">
        <v>68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6"/>
    </row>
    <row r="26" spans="2:16" ht="21">
      <c r="B26" s="86"/>
      <c r="C26" s="89" t="s">
        <v>69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6"/>
    </row>
    <row r="27" spans="2:16" ht="21">
      <c r="B27" s="86"/>
      <c r="C27" s="89" t="s">
        <v>140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/>
    </row>
    <row r="28" spans="2:16" ht="9" customHeight="1">
      <c r="B28" s="86"/>
      <c r="C28" s="89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6"/>
    </row>
    <row r="29" spans="2:16" ht="21"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151" t="s">
        <v>141</v>
      </c>
      <c r="N29" s="151"/>
      <c r="O29" s="151"/>
      <c r="P29" s="86"/>
    </row>
    <row r="30" spans="2:16" ht="9" customHeight="1" thickBot="1">
      <c r="B30" s="86"/>
      <c r="C30" s="89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</row>
    <row r="31" spans="2:16" ht="22" thickTop="1">
      <c r="B31" s="86"/>
      <c r="C31" s="93" t="s">
        <v>99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5"/>
      <c r="P31" s="86"/>
    </row>
    <row r="32" spans="2:16" ht="21">
      <c r="B32" s="86"/>
      <c r="C32" s="96" t="s">
        <v>100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97"/>
      <c r="P32" s="86"/>
    </row>
    <row r="33" spans="2:16" ht="22" thickBot="1">
      <c r="B33" s="86"/>
      <c r="C33" s="98" t="s">
        <v>101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86"/>
    </row>
    <row r="34" spans="2:16" ht="9" customHeight="1" thickTop="1">
      <c r="B34" s="86"/>
      <c r="C34" s="89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/>
    </row>
    <row r="35" spans="2:16" ht="21">
      <c r="B35" s="86"/>
      <c r="C35" s="89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6"/>
    </row>
    <row r="36" spans="2:16" ht="24">
      <c r="B36" s="86"/>
      <c r="C36" s="109" t="s">
        <v>70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6"/>
    </row>
    <row r="37" spans="2:16" ht="21">
      <c r="B37" s="86"/>
      <c r="C37" s="89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6"/>
    </row>
    <row r="38" spans="2:16" ht="21">
      <c r="B38" s="86"/>
      <c r="C38" s="91" t="s">
        <v>78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6"/>
    </row>
    <row r="39" spans="2:16" ht="21">
      <c r="B39" s="86"/>
      <c r="C39" s="90" t="s">
        <v>79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6"/>
    </row>
    <row r="40" spans="2:16" ht="21">
      <c r="B40" s="86"/>
      <c r="C40" s="92" t="s">
        <v>80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6"/>
    </row>
    <row r="41" spans="2:16" ht="20">
      <c r="B41" s="86"/>
      <c r="C41" s="102" t="s">
        <v>81</v>
      </c>
      <c r="D41" s="103" t="s">
        <v>111</v>
      </c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86"/>
    </row>
    <row r="42" spans="2:16" ht="20">
      <c r="B42" s="86"/>
      <c r="C42" s="105" t="s">
        <v>82</v>
      </c>
      <c r="D42" s="106" t="s">
        <v>112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86"/>
    </row>
    <row r="43" spans="2:16" ht="20">
      <c r="B43" s="86"/>
      <c r="C43" s="105" t="s">
        <v>83</v>
      </c>
      <c r="D43" s="106" t="s">
        <v>113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86"/>
    </row>
    <row r="44" spans="2:16" ht="20">
      <c r="B44" s="86"/>
      <c r="C44" s="105" t="s">
        <v>84</v>
      </c>
      <c r="D44" s="106" t="s">
        <v>114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86"/>
    </row>
    <row r="45" spans="2:16" ht="20">
      <c r="B45" s="86"/>
      <c r="C45" s="105" t="s">
        <v>85</v>
      </c>
      <c r="D45" s="106" t="s">
        <v>126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86"/>
    </row>
    <row r="46" spans="2:16" ht="21">
      <c r="B46" s="86"/>
      <c r="C46" s="89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6"/>
    </row>
    <row r="47" spans="2:16" ht="21">
      <c r="B47" s="86"/>
      <c r="C47" s="91" t="s">
        <v>87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6"/>
    </row>
    <row r="48" spans="2:16" ht="21">
      <c r="B48" s="86"/>
      <c r="C48" s="92" t="s">
        <v>88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6"/>
    </row>
    <row r="49" spans="2:16" ht="20">
      <c r="B49" s="86"/>
      <c r="C49" s="102" t="s">
        <v>89</v>
      </c>
      <c r="D49" s="103" t="s">
        <v>118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86"/>
    </row>
    <row r="50" spans="2:16" ht="20">
      <c r="B50" s="86"/>
      <c r="C50" s="105" t="s">
        <v>90</v>
      </c>
      <c r="D50" s="103" t="s">
        <v>104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86"/>
    </row>
    <row r="51" spans="2:16" ht="20">
      <c r="B51" s="86"/>
      <c r="C51" s="105" t="s">
        <v>91</v>
      </c>
      <c r="D51" s="103" t="s">
        <v>115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86"/>
    </row>
    <row r="52" spans="2:16" ht="20">
      <c r="B52" s="86"/>
      <c r="C52" s="105" t="s">
        <v>92</v>
      </c>
      <c r="D52" s="103" t="s">
        <v>116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86"/>
    </row>
    <row r="53" spans="2:16" ht="20">
      <c r="B53" s="86"/>
      <c r="C53" s="105" t="s">
        <v>93</v>
      </c>
      <c r="D53" s="103" t="s">
        <v>145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86"/>
    </row>
    <row r="54" spans="2:16" ht="20">
      <c r="B54" s="86"/>
      <c r="C54" s="105" t="s">
        <v>94</v>
      </c>
      <c r="D54" s="103" t="s">
        <v>117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86"/>
    </row>
    <row r="55" spans="2:16" ht="20">
      <c r="B55" s="86"/>
      <c r="C55" s="105" t="s">
        <v>95</v>
      </c>
      <c r="D55" s="103" t="s">
        <v>146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86"/>
    </row>
    <row r="56" spans="2:16" ht="20">
      <c r="B56" s="86"/>
      <c r="C56" s="105" t="s">
        <v>96</v>
      </c>
      <c r="D56" s="103" t="s">
        <v>147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86"/>
    </row>
    <row r="57" spans="2:16" ht="20">
      <c r="B57" s="86"/>
      <c r="C57" s="105" t="s">
        <v>148</v>
      </c>
      <c r="D57" s="103" t="s">
        <v>149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86"/>
    </row>
    <row r="58" spans="2:16" ht="20">
      <c r="B58" s="86"/>
      <c r="C58" s="105" t="s">
        <v>97</v>
      </c>
      <c r="D58" s="103" t="s">
        <v>120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86"/>
    </row>
    <row r="59" spans="2:16" ht="20">
      <c r="B59" s="86"/>
      <c r="C59" s="105" t="s">
        <v>98</v>
      </c>
      <c r="D59" s="103" t="s">
        <v>109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86"/>
    </row>
    <row r="60" spans="2:16" ht="20">
      <c r="B60" s="86"/>
      <c r="C60" s="105" t="s">
        <v>150</v>
      </c>
      <c r="D60" s="103" t="s">
        <v>110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86"/>
    </row>
    <row r="61" spans="2:16" ht="20">
      <c r="B61" s="86"/>
      <c r="C61" s="105" t="s">
        <v>151</v>
      </c>
      <c r="D61" s="103" t="s">
        <v>119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86"/>
    </row>
    <row r="62" spans="2:16" ht="19">
      <c r="B62" s="86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86"/>
    </row>
    <row r="63" spans="2:16" ht="21">
      <c r="B63" s="86"/>
      <c r="C63" s="89" t="s">
        <v>121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6"/>
    </row>
    <row r="64" spans="2:16" ht="22" thickBot="1">
      <c r="B64" s="86"/>
      <c r="C64" s="89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6"/>
    </row>
    <row r="65" spans="2:16" ht="20" thickTop="1">
      <c r="B65" s="86"/>
      <c r="C65" s="149" t="s">
        <v>102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86"/>
    </row>
    <row r="66" spans="2:16" ht="19">
      <c r="B66" s="86"/>
      <c r="C66" s="150" t="s">
        <v>103</v>
      </c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86"/>
    </row>
    <row r="67" spans="2:16" ht="7" customHeight="1"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</row>
  </sheetData>
  <sheetProtection algorithmName="SHA-512" hashValue="NkUU31IM/9INf4ZmiO/5VAFGxCYVkO7IruGDmb3udFNFT/rpM8maTlswpcFS9GfN7pDwbsVtYpLbFKOT41rbMw==" saltValue="Nqq+sEO2x4XP9YVV62JHhQ==" spinCount="100000" sheet="1" objects="1" scenarios="1"/>
  <mergeCells count="3">
    <mergeCell ref="C65:O65"/>
    <mergeCell ref="C66:O66"/>
    <mergeCell ref="M29:O29"/>
  </mergeCells>
  <hyperlinks>
    <hyperlink ref="M29" location="'Berichte &gt;&gt;'!A1" display="Gehe zu Berichte" xr:uid="{86FC1C89-648B-294A-AFFC-5FE934D49846}"/>
  </hyperlinks>
  <pageMargins left="0.70866141732283472" right="0.70866141732283472" top="0.78740157480314965" bottom="0.78740157480314965" header="0.31496062992125984" footer="0.31496062992125984"/>
  <pageSetup paperSize="9" scale="5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C1F46-C018-D348-9C6E-1D6354730264}">
  <sheetPr>
    <tabColor theme="7" tint="0.59999389629810485"/>
    <pageSetUpPr fitToPage="1"/>
  </sheetPr>
  <dimension ref="B1:Y70"/>
  <sheetViews>
    <sheetView showGridLines="0" tabSelected="1" zoomScale="80" zoomScaleNormal="80" workbookViewId="0">
      <pane ySplit="12" topLeftCell="A13" activePane="bottomLeft" state="frozen"/>
      <selection pane="bottomLeft" activeCell="U13" sqref="U13"/>
    </sheetView>
  </sheetViews>
  <sheetFormatPr baseColWidth="10" defaultRowHeight="19"/>
  <cols>
    <col min="1" max="1" width="3.6640625" style="1" customWidth="1"/>
    <col min="2" max="2" width="15" style="1" customWidth="1"/>
    <col min="3" max="4" width="12" style="1" customWidth="1"/>
    <col min="5" max="5" width="15" style="1" customWidth="1"/>
    <col min="6" max="6" width="12.83203125" style="3" customWidth="1"/>
    <col min="7" max="9" width="15" style="1" customWidth="1"/>
    <col min="10" max="10" width="15.1640625" style="1" customWidth="1"/>
    <col min="11" max="11" width="15.1640625" style="1" hidden="1" customWidth="1"/>
    <col min="12" max="14" width="17" style="2" customWidth="1"/>
    <col min="15" max="15" width="15.5" style="2" customWidth="1"/>
    <col min="16" max="16" width="15.5" style="65" customWidth="1"/>
    <col min="17" max="17" width="15.1640625" style="3" customWidth="1"/>
    <col min="18" max="18" width="15.6640625" style="3" customWidth="1"/>
    <col min="19" max="19" width="39" style="4" customWidth="1"/>
    <col min="20" max="22" width="15.83203125" style="1" customWidth="1"/>
    <col min="23" max="23" width="15.83203125" style="3" customWidth="1"/>
    <col min="24" max="25" width="15.83203125" style="1" customWidth="1"/>
    <col min="26" max="16384" width="10.83203125" style="1"/>
  </cols>
  <sheetData>
    <row r="1" spans="2:25">
      <c r="L1" s="5"/>
      <c r="M1" s="5"/>
      <c r="N1" s="5"/>
      <c r="O1" s="5"/>
      <c r="P1" s="64"/>
    </row>
    <row r="2" spans="2:25">
      <c r="F2" s="49"/>
      <c r="G2" s="50"/>
      <c r="H2" s="50"/>
      <c r="I2" s="50"/>
      <c r="J2" s="50"/>
      <c r="K2" s="50"/>
      <c r="L2" s="51"/>
      <c r="M2" s="51"/>
      <c r="N2" s="52"/>
      <c r="O2" s="5"/>
      <c r="P2" s="64"/>
    </row>
    <row r="3" spans="2:25">
      <c r="F3" s="53"/>
      <c r="G3" s="121" t="s">
        <v>35</v>
      </c>
      <c r="H3" s="121"/>
      <c r="I3" s="122">
        <v>2022</v>
      </c>
      <c r="J3" s="1" t="s">
        <v>36</v>
      </c>
      <c r="L3" s="76"/>
      <c r="M3" s="76"/>
      <c r="N3" s="77"/>
      <c r="O3" s="5"/>
      <c r="P3" s="64"/>
    </row>
    <row r="4" spans="2:25">
      <c r="F4" s="53"/>
      <c r="G4" s="121" t="s">
        <v>71</v>
      </c>
      <c r="H4" s="121"/>
      <c r="I4" s="123" t="s">
        <v>72</v>
      </c>
      <c r="J4" s="1" t="s">
        <v>73</v>
      </c>
      <c r="L4" s="1"/>
      <c r="N4" s="54"/>
    </row>
    <row r="5" spans="2:25">
      <c r="F5" s="53"/>
      <c r="G5" s="121" t="s">
        <v>20</v>
      </c>
      <c r="H5" s="121"/>
      <c r="I5" s="123" t="s">
        <v>17</v>
      </c>
      <c r="J5" s="1" t="s">
        <v>50</v>
      </c>
      <c r="L5" s="1"/>
      <c r="N5" s="54"/>
    </row>
    <row r="6" spans="2:25">
      <c r="F6" s="53"/>
      <c r="G6" s="121" t="s">
        <v>0</v>
      </c>
      <c r="H6" s="121"/>
      <c r="I6" s="124">
        <f>25%*1.055</f>
        <v>0.26374999999999998</v>
      </c>
      <c r="J6" s="1" t="s">
        <v>27</v>
      </c>
      <c r="L6" s="1"/>
      <c r="N6" s="54"/>
    </row>
    <row r="7" spans="2:25">
      <c r="F7" s="55"/>
      <c r="G7" s="121" t="str">
        <f>"Eigenkapital in "&amp;I4</f>
        <v>Eigenkapital in USD</v>
      </c>
      <c r="H7" s="121"/>
      <c r="I7" s="56">
        <v>60000</v>
      </c>
      <c r="J7" s="1" t="s">
        <v>26</v>
      </c>
      <c r="L7" s="1"/>
      <c r="N7" s="54"/>
    </row>
    <row r="8" spans="2:25">
      <c r="F8" s="57"/>
      <c r="G8" s="58"/>
      <c r="H8" s="58"/>
      <c r="I8" s="58"/>
      <c r="J8" s="58"/>
      <c r="K8" s="58"/>
      <c r="L8" s="59"/>
      <c r="M8" s="59"/>
      <c r="N8" s="60"/>
    </row>
    <row r="9" spans="2:25" ht="20" thickBot="1"/>
    <row r="10" spans="2:25" ht="20" thickBot="1">
      <c r="B10" s="23" t="str">
        <f>"Trading Log --- Angaben in "&amp;$I$4</f>
        <v>Trading Log --- Angaben in USD</v>
      </c>
      <c r="C10" s="24"/>
      <c r="D10" s="24"/>
      <c r="E10" s="24"/>
      <c r="F10" s="25"/>
      <c r="G10" s="26"/>
      <c r="H10" s="26"/>
      <c r="I10" s="26"/>
      <c r="J10" s="26"/>
      <c r="K10" s="26"/>
      <c r="L10" s="27"/>
      <c r="M10" s="27"/>
      <c r="N10" s="27"/>
      <c r="O10" s="27"/>
      <c r="P10" s="66"/>
      <c r="Q10" s="25"/>
      <c r="R10" s="25"/>
      <c r="S10" s="28"/>
      <c r="T10" s="152" t="s">
        <v>23</v>
      </c>
      <c r="U10" s="153"/>
      <c r="V10" s="154" t="s">
        <v>21</v>
      </c>
      <c r="W10" s="155"/>
      <c r="X10" s="155"/>
      <c r="Y10" s="156"/>
    </row>
    <row r="11" spans="2:25" s="12" customFormat="1" ht="41" customHeight="1" thickBot="1">
      <c r="B11" s="29" t="s">
        <v>15</v>
      </c>
      <c r="C11" s="30" t="s">
        <v>4</v>
      </c>
      <c r="D11" s="30" t="s">
        <v>16</v>
      </c>
      <c r="E11" s="44" t="s">
        <v>38</v>
      </c>
      <c r="F11" s="44" t="s">
        <v>22</v>
      </c>
      <c r="G11" s="44" t="s">
        <v>152</v>
      </c>
      <c r="H11" s="44" t="s">
        <v>153</v>
      </c>
      <c r="I11" s="44" t="s">
        <v>154</v>
      </c>
      <c r="J11" s="44" t="s">
        <v>28</v>
      </c>
      <c r="K11" s="44" t="s">
        <v>37</v>
      </c>
      <c r="L11" s="31" t="s">
        <v>155</v>
      </c>
      <c r="M11" s="31" t="s">
        <v>156</v>
      </c>
      <c r="N11" s="31" t="s">
        <v>157</v>
      </c>
      <c r="O11" s="31" t="s">
        <v>29</v>
      </c>
      <c r="P11" s="32" t="s">
        <v>2</v>
      </c>
      <c r="Q11" s="30" t="s">
        <v>5</v>
      </c>
      <c r="R11" s="30" t="s">
        <v>14</v>
      </c>
      <c r="S11" s="33" t="s">
        <v>6</v>
      </c>
      <c r="T11" s="46" t="s">
        <v>25</v>
      </c>
      <c r="U11" s="44" t="s">
        <v>24</v>
      </c>
      <c r="V11" s="15" t="str">
        <f>"Gewinn v.S. ("&amp;$I$5&amp;")"</f>
        <v>Gewinn v.S. (EUR)</v>
      </c>
      <c r="W11" s="44" t="str">
        <f>"Kurs USD/"&amp;$I$5</f>
        <v>Kurs USD/EUR</v>
      </c>
      <c r="X11" s="16" t="str">
        <f>"Steuer ("&amp;$I$5&amp;")"</f>
        <v>Steuer (EUR)</v>
      </c>
      <c r="Y11" s="17" t="str">
        <f>"Gewinn n.S. ("&amp;$I$5&amp;")"</f>
        <v>Gewinn n.S. (EUR)</v>
      </c>
    </row>
    <row r="12" spans="2:25" ht="20" thickBot="1">
      <c r="B12" s="34"/>
      <c r="C12" s="7"/>
      <c r="D12" s="7"/>
      <c r="E12" s="6"/>
      <c r="F12" s="7"/>
      <c r="G12" s="125">
        <f ca="1">SUMPRODUCT(($C$13:$C$70&lt;&gt;"Call")*($P$13:$P$70="OPEN")*$G$13:$G$70)</f>
        <v>10900</v>
      </c>
      <c r="H12" s="83">
        <f ca="1">SUM(H13:H70)</f>
        <v>0</v>
      </c>
      <c r="I12" s="7"/>
      <c r="J12" s="7"/>
      <c r="K12" s="7"/>
      <c r="L12" s="6"/>
      <c r="M12" s="45"/>
      <c r="N12" s="45">
        <f>SUM(N13:N70)</f>
        <v>42</v>
      </c>
      <c r="O12" s="45">
        <f>SUM(O$13:O$70)</f>
        <v>470</v>
      </c>
      <c r="P12" s="67"/>
      <c r="Q12" s="6"/>
      <c r="R12" s="6"/>
      <c r="S12" s="18"/>
      <c r="T12" s="47">
        <f>IFERROR(O12/$I$7,0)</f>
        <v>7.8333333333333328E-3</v>
      </c>
      <c r="U12" s="48">
        <f ca="1">IFERROR(T12/(TODAY()-B13)*360,0)</f>
        <v>2.4736842105263154E-2</v>
      </c>
      <c r="V12" s="126">
        <f>SUM(V$13:V$70)</f>
        <v>0</v>
      </c>
      <c r="W12" s="70" t="str">
        <f>IFERROR(O12/V12,"")</f>
        <v/>
      </c>
      <c r="X12" s="127">
        <f>SUM(X$13:X$70)</f>
        <v>0</v>
      </c>
      <c r="Y12" s="128">
        <f>SUM(Y$13:Y$70)</f>
        <v>0</v>
      </c>
    </row>
    <row r="13" spans="2:25">
      <c r="B13" s="35">
        <v>44470</v>
      </c>
      <c r="C13" s="13" t="s">
        <v>12</v>
      </c>
      <c r="D13" s="13" t="s">
        <v>143</v>
      </c>
      <c r="E13" s="129">
        <v>11.5</v>
      </c>
      <c r="F13" s="13">
        <v>200</v>
      </c>
      <c r="G13" s="130">
        <f>IF(OR(E13="",F13=""),0,E13*F13)</f>
        <v>2300</v>
      </c>
      <c r="H13" s="130">
        <f t="shared" ref="H13:H44" ca="1" si="0">IF(G13="","",IF(AND(C13="Put",P13="OPEN"),G13,0))</f>
        <v>0</v>
      </c>
      <c r="I13" s="14">
        <v>44477</v>
      </c>
      <c r="J13" s="61">
        <f t="shared" ref="J13:J44" si="1">IF(OR(B13="",I13=""),"",I13-B13+1)</f>
        <v>8</v>
      </c>
      <c r="K13" s="61">
        <f>IF(I13="","",MONTH(I13))</f>
        <v>10</v>
      </c>
      <c r="L13" s="129">
        <v>0.18</v>
      </c>
      <c r="M13" s="129"/>
      <c r="N13" s="129">
        <v>7</v>
      </c>
      <c r="O13" s="131">
        <f t="shared" ref="O13:O20" si="2">IF(AND(C13="Aktie",M13&lt;&gt;""),(M13-E13)*F13-N13,IF(OR(F13="",L13=""),0,F13*L13-N13))</f>
        <v>29</v>
      </c>
      <c r="P13" s="68" t="str">
        <f t="shared" ref="P13:P44" ca="1" si="3">IF(B13="","",IF(OR(AND(C13="Aktie",AND(I13&lt;&gt;"",I13&lt;=TODAY())),AND(C13&lt;&gt;"Aktie",I13&lt;TODAY()),AND(C13&lt;&gt;"Aktie",Q13="Nein")),"CLOSED","OPEN"))</f>
        <v>CLOSED</v>
      </c>
      <c r="Q13" s="9" t="s">
        <v>19</v>
      </c>
      <c r="R13" s="9" t="s">
        <v>107</v>
      </c>
      <c r="S13" s="36"/>
      <c r="T13" s="19">
        <f>IFERROR(O13/ABS(G13),0)</f>
        <v>1.2608695652173913E-2</v>
      </c>
      <c r="U13" s="8">
        <f t="shared" ref="U13:U44" si="4">IFERROR(T13/J13*360,0)</f>
        <v>0.56739130434782614</v>
      </c>
      <c r="V13" s="132"/>
      <c r="W13" s="68" t="str">
        <f t="shared" ref="W13:W70" si="5">IFERROR(O13/V13,"")</f>
        <v/>
      </c>
      <c r="X13" s="131">
        <f t="shared" ref="X13:X44" si="6">V13*$I$6</f>
        <v>0</v>
      </c>
      <c r="Y13" s="133">
        <f>V13-X13</f>
        <v>0</v>
      </c>
    </row>
    <row r="14" spans="2:25">
      <c r="B14" s="37">
        <v>44477</v>
      </c>
      <c r="C14" s="134" t="s">
        <v>3</v>
      </c>
      <c r="D14" s="134" t="s">
        <v>143</v>
      </c>
      <c r="E14" s="135">
        <v>11.5</v>
      </c>
      <c r="F14" s="134">
        <v>200</v>
      </c>
      <c r="G14" s="136">
        <f t="shared" ref="G14:G70" si="7">IF(OR(E14="",F14=""),0,E14*F14)</f>
        <v>2300</v>
      </c>
      <c r="H14" s="136">
        <f t="shared" ca="1" si="0"/>
        <v>0</v>
      </c>
      <c r="I14" s="137">
        <v>44484</v>
      </c>
      <c r="J14" s="62">
        <f t="shared" si="1"/>
        <v>8</v>
      </c>
      <c r="K14" s="62">
        <f t="shared" ref="K14:K70" si="8">IF(I14="","",MONTH(I14))</f>
        <v>10</v>
      </c>
      <c r="L14" s="135"/>
      <c r="M14" s="135">
        <v>12</v>
      </c>
      <c r="N14" s="135">
        <v>0</v>
      </c>
      <c r="O14" s="138">
        <f t="shared" si="2"/>
        <v>100</v>
      </c>
      <c r="P14" s="139" t="str">
        <f t="shared" ca="1" si="3"/>
        <v>CLOSED</v>
      </c>
      <c r="Q14" s="140" t="s">
        <v>18</v>
      </c>
      <c r="R14" s="140" t="s">
        <v>107</v>
      </c>
      <c r="S14" s="38"/>
      <c r="T14" s="20">
        <f t="shared" ref="T14:T70" si="9">IFERROR(O14/ABS(G14),0)</f>
        <v>4.3478260869565216E-2</v>
      </c>
      <c r="U14" s="10">
        <f t="shared" si="4"/>
        <v>1.9565217391304348</v>
      </c>
      <c r="V14" s="141"/>
      <c r="W14" s="139" t="str">
        <f>IFERROR(O14/V14,"")</f>
        <v/>
      </c>
      <c r="X14" s="138">
        <f t="shared" si="6"/>
        <v>0</v>
      </c>
      <c r="Y14" s="142">
        <f>V14-X14</f>
        <v>0</v>
      </c>
    </row>
    <row r="15" spans="2:25">
      <c r="B15" s="37">
        <v>44470</v>
      </c>
      <c r="C15" s="134" t="s">
        <v>12</v>
      </c>
      <c r="D15" s="134" t="s">
        <v>9</v>
      </c>
      <c r="E15" s="135">
        <v>45</v>
      </c>
      <c r="F15" s="134">
        <v>100</v>
      </c>
      <c r="G15" s="136">
        <f t="shared" si="7"/>
        <v>4500</v>
      </c>
      <c r="H15" s="136">
        <f t="shared" ca="1" si="0"/>
        <v>0</v>
      </c>
      <c r="I15" s="137">
        <v>44484</v>
      </c>
      <c r="J15" s="62">
        <f t="shared" si="1"/>
        <v>15</v>
      </c>
      <c r="K15" s="62">
        <f t="shared" si="8"/>
        <v>10</v>
      </c>
      <c r="L15" s="135">
        <v>0.63</v>
      </c>
      <c r="M15" s="135"/>
      <c r="N15" s="135">
        <v>3.5</v>
      </c>
      <c r="O15" s="138">
        <f t="shared" si="2"/>
        <v>59.5</v>
      </c>
      <c r="P15" s="139" t="str">
        <f t="shared" ca="1" si="3"/>
        <v>CLOSED</v>
      </c>
      <c r="Q15" s="140" t="s">
        <v>18</v>
      </c>
      <c r="R15" s="140"/>
      <c r="S15" s="38"/>
      <c r="T15" s="20">
        <f t="shared" si="9"/>
        <v>1.3222222222222222E-2</v>
      </c>
      <c r="U15" s="10">
        <f t="shared" si="4"/>
        <v>0.3173333333333333</v>
      </c>
      <c r="V15" s="141"/>
      <c r="W15" s="139" t="str">
        <f t="shared" si="5"/>
        <v/>
      </c>
      <c r="X15" s="138">
        <f t="shared" si="6"/>
        <v>0</v>
      </c>
      <c r="Y15" s="142">
        <f t="shared" ref="Y15:Y68" si="10">V15-X15</f>
        <v>0</v>
      </c>
    </row>
    <row r="16" spans="2:25">
      <c r="B16" s="37">
        <v>44470</v>
      </c>
      <c r="C16" s="134" t="s">
        <v>12</v>
      </c>
      <c r="D16" s="134" t="s">
        <v>10</v>
      </c>
      <c r="E16" s="135">
        <v>20</v>
      </c>
      <c r="F16" s="134">
        <v>100</v>
      </c>
      <c r="G16" s="136">
        <f t="shared" si="7"/>
        <v>2000</v>
      </c>
      <c r="H16" s="136">
        <f t="shared" ca="1" si="0"/>
        <v>0</v>
      </c>
      <c r="I16" s="137">
        <v>44484</v>
      </c>
      <c r="J16" s="62">
        <f t="shared" si="1"/>
        <v>15</v>
      </c>
      <c r="K16" s="62">
        <f t="shared" si="8"/>
        <v>10</v>
      </c>
      <c r="L16" s="135">
        <v>0.33</v>
      </c>
      <c r="M16" s="135"/>
      <c r="N16" s="135">
        <v>3.5</v>
      </c>
      <c r="O16" s="138">
        <f t="shared" si="2"/>
        <v>29.5</v>
      </c>
      <c r="P16" s="139" t="str">
        <f t="shared" ca="1" si="3"/>
        <v>CLOSED</v>
      </c>
      <c r="Q16" s="140" t="s">
        <v>18</v>
      </c>
      <c r="R16" s="140"/>
      <c r="S16" s="38"/>
      <c r="T16" s="20">
        <f t="shared" si="9"/>
        <v>1.4749999999999999E-2</v>
      </c>
      <c r="U16" s="10">
        <f t="shared" si="4"/>
        <v>0.35399999999999998</v>
      </c>
      <c r="V16" s="141"/>
      <c r="W16" s="139" t="str">
        <f t="shared" si="5"/>
        <v/>
      </c>
      <c r="X16" s="138">
        <f t="shared" si="6"/>
        <v>0</v>
      </c>
      <c r="Y16" s="142">
        <f t="shared" si="10"/>
        <v>0</v>
      </c>
    </row>
    <row r="17" spans="2:25">
      <c r="B17" s="37">
        <v>44480</v>
      </c>
      <c r="C17" s="134" t="s">
        <v>13</v>
      </c>
      <c r="D17" s="134" t="s">
        <v>143</v>
      </c>
      <c r="E17" s="135">
        <v>12</v>
      </c>
      <c r="F17" s="134">
        <v>200</v>
      </c>
      <c r="G17" s="136">
        <f t="shared" si="7"/>
        <v>2400</v>
      </c>
      <c r="H17" s="136">
        <f t="shared" ca="1" si="0"/>
        <v>0</v>
      </c>
      <c r="I17" s="137">
        <v>44484</v>
      </c>
      <c r="J17" s="62">
        <f t="shared" si="1"/>
        <v>5</v>
      </c>
      <c r="K17" s="62">
        <f t="shared" si="8"/>
        <v>10</v>
      </c>
      <c r="L17" s="135">
        <v>0.18</v>
      </c>
      <c r="M17" s="135"/>
      <c r="N17" s="135">
        <v>7</v>
      </c>
      <c r="O17" s="138">
        <f t="shared" si="2"/>
        <v>29</v>
      </c>
      <c r="P17" s="139" t="str">
        <f t="shared" ca="1" si="3"/>
        <v>CLOSED</v>
      </c>
      <c r="Q17" s="140" t="s">
        <v>19</v>
      </c>
      <c r="R17" s="140" t="s">
        <v>107</v>
      </c>
      <c r="S17" s="38"/>
      <c r="T17" s="20">
        <f t="shared" si="9"/>
        <v>1.2083333333333333E-2</v>
      </c>
      <c r="U17" s="10">
        <f t="shared" si="4"/>
        <v>0.87</v>
      </c>
      <c r="V17" s="141"/>
      <c r="W17" s="139" t="str">
        <f t="shared" si="5"/>
        <v/>
      </c>
      <c r="X17" s="138">
        <f t="shared" si="6"/>
        <v>0</v>
      </c>
      <c r="Y17" s="142">
        <f t="shared" si="10"/>
        <v>0</v>
      </c>
    </row>
    <row r="18" spans="2:25">
      <c r="B18" s="37">
        <v>44480</v>
      </c>
      <c r="C18" s="134" t="s">
        <v>12</v>
      </c>
      <c r="D18" s="134" t="s">
        <v>8</v>
      </c>
      <c r="E18" s="135">
        <v>68</v>
      </c>
      <c r="F18" s="134">
        <v>100</v>
      </c>
      <c r="G18" s="136">
        <f t="shared" si="7"/>
        <v>6800</v>
      </c>
      <c r="H18" s="136">
        <f t="shared" ca="1" si="0"/>
        <v>0</v>
      </c>
      <c r="I18" s="137">
        <v>44484</v>
      </c>
      <c r="J18" s="62">
        <f t="shared" si="1"/>
        <v>5</v>
      </c>
      <c r="K18" s="62">
        <f t="shared" si="8"/>
        <v>10</v>
      </c>
      <c r="L18" s="135">
        <v>0.53</v>
      </c>
      <c r="M18" s="135"/>
      <c r="N18" s="135">
        <v>3.5</v>
      </c>
      <c r="O18" s="138">
        <f t="shared" si="2"/>
        <v>49.5</v>
      </c>
      <c r="P18" s="139" t="str">
        <f t="shared" ca="1" si="3"/>
        <v>CLOSED</v>
      </c>
      <c r="Q18" s="140" t="s">
        <v>19</v>
      </c>
      <c r="R18" s="140" t="s">
        <v>108</v>
      </c>
      <c r="S18" s="38"/>
      <c r="T18" s="20">
        <f t="shared" si="9"/>
        <v>7.2794117647058823E-3</v>
      </c>
      <c r="U18" s="10">
        <f t="shared" si="4"/>
        <v>0.52411764705882347</v>
      </c>
      <c r="V18" s="141"/>
      <c r="W18" s="139" t="str">
        <f t="shared" si="5"/>
        <v/>
      </c>
      <c r="X18" s="138">
        <f t="shared" si="6"/>
        <v>0</v>
      </c>
      <c r="Y18" s="142">
        <f t="shared" si="10"/>
        <v>0</v>
      </c>
    </row>
    <row r="19" spans="2:25">
      <c r="B19" s="37">
        <v>44484</v>
      </c>
      <c r="C19" s="134" t="s">
        <v>3</v>
      </c>
      <c r="D19" s="134" t="s">
        <v>8</v>
      </c>
      <c r="E19" s="135">
        <v>68</v>
      </c>
      <c r="F19" s="134">
        <v>100</v>
      </c>
      <c r="G19" s="136">
        <f t="shared" si="7"/>
        <v>6800</v>
      </c>
      <c r="H19" s="136">
        <f t="shared" ca="1" si="0"/>
        <v>0</v>
      </c>
      <c r="I19" s="137"/>
      <c r="J19" s="62" t="str">
        <f t="shared" si="1"/>
        <v/>
      </c>
      <c r="K19" s="62" t="str">
        <f t="shared" si="8"/>
        <v/>
      </c>
      <c r="L19" s="135"/>
      <c r="M19" s="135"/>
      <c r="N19" s="135"/>
      <c r="O19" s="138">
        <f t="shared" si="2"/>
        <v>0</v>
      </c>
      <c r="P19" s="139" t="str">
        <f t="shared" ca="1" si="3"/>
        <v>OPEN</v>
      </c>
      <c r="Q19" s="140" t="s">
        <v>18</v>
      </c>
      <c r="R19" s="140" t="s">
        <v>108</v>
      </c>
      <c r="S19" s="38"/>
      <c r="T19" s="20">
        <f t="shared" si="9"/>
        <v>0</v>
      </c>
      <c r="U19" s="10">
        <f t="shared" si="4"/>
        <v>0</v>
      </c>
      <c r="V19" s="141"/>
      <c r="W19" s="139" t="str">
        <f t="shared" si="5"/>
        <v/>
      </c>
      <c r="X19" s="138">
        <f t="shared" si="6"/>
        <v>0</v>
      </c>
      <c r="Y19" s="142">
        <f t="shared" si="10"/>
        <v>0</v>
      </c>
    </row>
    <row r="20" spans="2:25">
      <c r="B20" s="37">
        <v>44488</v>
      </c>
      <c r="C20" s="134" t="s">
        <v>12</v>
      </c>
      <c r="D20" s="134" t="s">
        <v>142</v>
      </c>
      <c r="E20" s="135">
        <v>41</v>
      </c>
      <c r="F20" s="134">
        <v>100</v>
      </c>
      <c r="G20" s="136">
        <f t="shared" si="7"/>
        <v>4100</v>
      </c>
      <c r="H20" s="136">
        <f t="shared" ca="1" si="0"/>
        <v>0</v>
      </c>
      <c r="I20" s="137">
        <v>44498</v>
      </c>
      <c r="J20" s="62">
        <f t="shared" si="1"/>
        <v>11</v>
      </c>
      <c r="K20" s="62">
        <f t="shared" si="8"/>
        <v>10</v>
      </c>
      <c r="L20" s="135">
        <v>0.8</v>
      </c>
      <c r="M20" s="135"/>
      <c r="N20" s="135">
        <v>3.5</v>
      </c>
      <c r="O20" s="138">
        <f t="shared" si="2"/>
        <v>76.5</v>
      </c>
      <c r="P20" s="139" t="str">
        <f t="shared" ca="1" si="3"/>
        <v>CLOSED</v>
      </c>
      <c r="Q20" s="140" t="s">
        <v>19</v>
      </c>
      <c r="R20" s="140" t="s">
        <v>144</v>
      </c>
      <c r="S20" s="38"/>
      <c r="T20" s="20">
        <f t="shared" si="9"/>
        <v>1.8658536585365853E-2</v>
      </c>
      <c r="U20" s="10">
        <f t="shared" si="4"/>
        <v>0.61064301552106426</v>
      </c>
      <c r="V20" s="141"/>
      <c r="W20" s="139" t="str">
        <f t="shared" si="5"/>
        <v/>
      </c>
      <c r="X20" s="138">
        <f t="shared" si="6"/>
        <v>0</v>
      </c>
      <c r="Y20" s="142">
        <f t="shared" si="10"/>
        <v>0</v>
      </c>
    </row>
    <row r="21" spans="2:25">
      <c r="B21" s="37">
        <v>44488</v>
      </c>
      <c r="C21" s="134" t="s">
        <v>13</v>
      </c>
      <c r="D21" s="134" t="s">
        <v>8</v>
      </c>
      <c r="E21" s="135">
        <v>68</v>
      </c>
      <c r="F21" s="134">
        <v>100</v>
      </c>
      <c r="G21" s="136">
        <f t="shared" si="7"/>
        <v>6800</v>
      </c>
      <c r="H21" s="136">
        <f t="shared" ca="1" si="0"/>
        <v>0</v>
      </c>
      <c r="I21" s="137">
        <v>44498</v>
      </c>
      <c r="J21" s="62">
        <f t="shared" si="1"/>
        <v>11</v>
      </c>
      <c r="K21" s="62">
        <f t="shared" si="8"/>
        <v>10</v>
      </c>
      <c r="L21" s="135">
        <v>0.63</v>
      </c>
      <c r="M21" s="135"/>
      <c r="N21" s="135">
        <v>3.5</v>
      </c>
      <c r="O21" s="138">
        <f t="shared" ref="O21:O70" si="11">IF(AND(C21="Aktie",M21&lt;&gt;""),(M21-E21)*F21-N21,IF(OR(F21="",L21=""),0,F21*L21-N21))</f>
        <v>59.5</v>
      </c>
      <c r="P21" s="139" t="str">
        <f t="shared" ca="1" si="3"/>
        <v>CLOSED</v>
      </c>
      <c r="Q21" s="140"/>
      <c r="R21" s="140" t="s">
        <v>108</v>
      </c>
      <c r="S21" s="38"/>
      <c r="T21" s="20">
        <f t="shared" si="9"/>
        <v>8.7500000000000008E-3</v>
      </c>
      <c r="U21" s="10">
        <f t="shared" si="4"/>
        <v>0.28636363636363638</v>
      </c>
      <c r="V21" s="141"/>
      <c r="W21" s="139" t="str">
        <f t="shared" ref="W21:W24" si="12">IFERROR(O21/V21,"")</f>
        <v/>
      </c>
      <c r="X21" s="138">
        <f t="shared" si="6"/>
        <v>0</v>
      </c>
      <c r="Y21" s="142">
        <f t="shared" ref="Y21:Y24" si="13">V21-X21</f>
        <v>0</v>
      </c>
    </row>
    <row r="22" spans="2:25">
      <c r="B22" s="37">
        <v>44498</v>
      </c>
      <c r="C22" s="134" t="s">
        <v>3</v>
      </c>
      <c r="D22" s="134" t="s">
        <v>142</v>
      </c>
      <c r="E22" s="135">
        <v>41</v>
      </c>
      <c r="F22" s="134">
        <v>100</v>
      </c>
      <c r="G22" s="136">
        <f t="shared" si="7"/>
        <v>4100</v>
      </c>
      <c r="H22" s="136">
        <f t="shared" ca="1" si="0"/>
        <v>0</v>
      </c>
      <c r="I22" s="137"/>
      <c r="J22" s="62" t="str">
        <f t="shared" si="1"/>
        <v/>
      </c>
      <c r="K22" s="62" t="str">
        <f t="shared" si="8"/>
        <v/>
      </c>
      <c r="L22" s="135"/>
      <c r="M22" s="135"/>
      <c r="N22" s="135"/>
      <c r="O22" s="138">
        <f t="shared" si="11"/>
        <v>0</v>
      </c>
      <c r="P22" s="139" t="str">
        <f t="shared" ca="1" si="3"/>
        <v>OPEN</v>
      </c>
      <c r="Q22" s="140"/>
      <c r="R22" s="140" t="s">
        <v>144</v>
      </c>
      <c r="S22" s="148"/>
      <c r="T22" s="20">
        <f t="shared" si="9"/>
        <v>0</v>
      </c>
      <c r="U22" s="10">
        <f t="shared" si="4"/>
        <v>0</v>
      </c>
      <c r="V22" s="141"/>
      <c r="W22" s="139" t="str">
        <f t="shared" si="12"/>
        <v/>
      </c>
      <c r="X22" s="138">
        <f t="shared" si="6"/>
        <v>0</v>
      </c>
      <c r="Y22" s="142">
        <f t="shared" si="13"/>
        <v>0</v>
      </c>
    </row>
    <row r="23" spans="2:25">
      <c r="B23" s="37">
        <v>44503</v>
      </c>
      <c r="C23" s="134" t="s">
        <v>12</v>
      </c>
      <c r="D23" s="134" t="s">
        <v>45</v>
      </c>
      <c r="E23" s="135">
        <v>58</v>
      </c>
      <c r="F23" s="134">
        <v>100</v>
      </c>
      <c r="G23" s="136">
        <f t="shared" si="7"/>
        <v>5800</v>
      </c>
      <c r="H23" s="136">
        <f t="shared" ca="1" si="0"/>
        <v>0</v>
      </c>
      <c r="I23" s="137">
        <v>44512</v>
      </c>
      <c r="J23" s="62">
        <f t="shared" si="1"/>
        <v>10</v>
      </c>
      <c r="K23" s="62">
        <f t="shared" si="8"/>
        <v>11</v>
      </c>
      <c r="L23" s="135">
        <v>0.5</v>
      </c>
      <c r="M23" s="135"/>
      <c r="N23" s="135">
        <v>3.5</v>
      </c>
      <c r="O23" s="138">
        <f t="shared" si="11"/>
        <v>46.5</v>
      </c>
      <c r="P23" s="139" t="str">
        <f t="shared" ca="1" si="3"/>
        <v>CLOSED</v>
      </c>
      <c r="Q23" s="140" t="s">
        <v>18</v>
      </c>
      <c r="R23" s="140"/>
      <c r="S23" s="38"/>
      <c r="T23" s="20">
        <f t="shared" si="9"/>
        <v>8.0172413793103449E-3</v>
      </c>
      <c r="U23" s="10">
        <f t="shared" si="4"/>
        <v>0.2886206896551724</v>
      </c>
      <c r="V23" s="141"/>
      <c r="W23" s="139" t="str">
        <f t="shared" si="12"/>
        <v/>
      </c>
      <c r="X23" s="138">
        <f t="shared" si="6"/>
        <v>0</v>
      </c>
      <c r="Y23" s="142">
        <f t="shared" si="13"/>
        <v>0</v>
      </c>
    </row>
    <row r="24" spans="2:25">
      <c r="B24" s="37">
        <v>44503</v>
      </c>
      <c r="C24" s="134" t="s">
        <v>12</v>
      </c>
      <c r="D24" s="134" t="s">
        <v>45</v>
      </c>
      <c r="E24" s="135">
        <v>59</v>
      </c>
      <c r="F24" s="134">
        <v>100</v>
      </c>
      <c r="G24" s="136">
        <f t="shared" si="7"/>
        <v>5900</v>
      </c>
      <c r="H24" s="136">
        <f t="shared" ca="1" si="0"/>
        <v>0</v>
      </c>
      <c r="I24" s="137">
        <v>44512</v>
      </c>
      <c r="J24" s="62">
        <f t="shared" si="1"/>
        <v>10</v>
      </c>
      <c r="K24" s="62">
        <f t="shared" si="8"/>
        <v>11</v>
      </c>
      <c r="L24" s="135">
        <v>0.75</v>
      </c>
      <c r="M24" s="135"/>
      <c r="N24" s="135">
        <v>3.5</v>
      </c>
      <c r="O24" s="138">
        <f t="shared" si="11"/>
        <v>71.5</v>
      </c>
      <c r="P24" s="139" t="str">
        <f t="shared" ca="1" si="3"/>
        <v>CLOSED</v>
      </c>
      <c r="Q24" s="140" t="s">
        <v>18</v>
      </c>
      <c r="R24" s="140" t="s">
        <v>159</v>
      </c>
      <c r="S24" s="148"/>
      <c r="T24" s="20">
        <f t="shared" si="9"/>
        <v>1.211864406779661E-2</v>
      </c>
      <c r="U24" s="10">
        <f t="shared" si="4"/>
        <v>0.43627118644067792</v>
      </c>
      <c r="V24" s="141"/>
      <c r="W24" s="139" t="str">
        <f t="shared" si="12"/>
        <v/>
      </c>
      <c r="X24" s="138">
        <f t="shared" si="6"/>
        <v>0</v>
      </c>
      <c r="Y24" s="142">
        <f t="shared" si="13"/>
        <v>0</v>
      </c>
    </row>
    <row r="25" spans="2:25">
      <c r="B25" s="37">
        <v>44503</v>
      </c>
      <c r="C25" s="134" t="s">
        <v>12</v>
      </c>
      <c r="D25" s="134" t="s">
        <v>45</v>
      </c>
      <c r="E25" s="135">
        <v>59</v>
      </c>
      <c r="F25" s="134">
        <v>-100</v>
      </c>
      <c r="G25" s="136">
        <f t="shared" si="7"/>
        <v>-5900</v>
      </c>
      <c r="H25" s="136">
        <f t="shared" ca="1" si="0"/>
        <v>0</v>
      </c>
      <c r="I25" s="137">
        <v>44503</v>
      </c>
      <c r="J25" s="62">
        <f t="shared" si="1"/>
        <v>1</v>
      </c>
      <c r="K25" s="62">
        <f t="shared" si="8"/>
        <v>11</v>
      </c>
      <c r="L25" s="135">
        <v>0.77</v>
      </c>
      <c r="M25" s="135"/>
      <c r="N25" s="135">
        <v>3.5</v>
      </c>
      <c r="O25" s="138">
        <f t="shared" si="11"/>
        <v>-80.5</v>
      </c>
      <c r="P25" s="139" t="str">
        <f t="shared" ca="1" si="3"/>
        <v>CLOSED</v>
      </c>
      <c r="Q25" s="140" t="s">
        <v>18</v>
      </c>
      <c r="R25" s="140" t="s">
        <v>159</v>
      </c>
      <c r="S25" s="38" t="s">
        <v>160</v>
      </c>
      <c r="T25" s="20">
        <f t="shared" si="9"/>
        <v>-1.3644067796610169E-2</v>
      </c>
      <c r="U25" s="10">
        <f t="shared" si="4"/>
        <v>-4.9118644067796611</v>
      </c>
      <c r="V25" s="141"/>
      <c r="W25" s="139" t="str">
        <f t="shared" si="5"/>
        <v/>
      </c>
      <c r="X25" s="138">
        <f t="shared" si="6"/>
        <v>0</v>
      </c>
      <c r="Y25" s="142">
        <f t="shared" si="10"/>
        <v>0</v>
      </c>
    </row>
    <row r="26" spans="2:25">
      <c r="B26" s="37"/>
      <c r="C26" s="134"/>
      <c r="D26" s="134"/>
      <c r="E26" s="135"/>
      <c r="F26" s="134"/>
      <c r="G26" s="136">
        <f t="shared" si="7"/>
        <v>0</v>
      </c>
      <c r="H26" s="136">
        <f t="shared" ca="1" si="0"/>
        <v>0</v>
      </c>
      <c r="I26" s="137"/>
      <c r="J26" s="62" t="str">
        <f t="shared" si="1"/>
        <v/>
      </c>
      <c r="K26" s="62" t="str">
        <f t="shared" si="8"/>
        <v/>
      </c>
      <c r="L26" s="135"/>
      <c r="M26" s="135"/>
      <c r="N26" s="135"/>
      <c r="O26" s="138">
        <f t="shared" si="11"/>
        <v>0</v>
      </c>
      <c r="P26" s="139" t="str">
        <f t="shared" ca="1" si="3"/>
        <v/>
      </c>
      <c r="Q26" s="140"/>
      <c r="R26" s="140"/>
      <c r="S26" s="38"/>
      <c r="T26" s="20">
        <f t="shared" si="9"/>
        <v>0</v>
      </c>
      <c r="U26" s="10">
        <f t="shared" si="4"/>
        <v>0</v>
      </c>
      <c r="V26" s="141"/>
      <c r="W26" s="139" t="str">
        <f t="shared" si="5"/>
        <v/>
      </c>
      <c r="X26" s="138">
        <f t="shared" si="6"/>
        <v>0</v>
      </c>
      <c r="Y26" s="142">
        <f t="shared" si="10"/>
        <v>0</v>
      </c>
    </row>
    <row r="27" spans="2:25">
      <c r="B27" s="37"/>
      <c r="C27" s="134"/>
      <c r="D27" s="134"/>
      <c r="E27" s="135"/>
      <c r="F27" s="134"/>
      <c r="G27" s="136">
        <f t="shared" si="7"/>
        <v>0</v>
      </c>
      <c r="H27" s="136">
        <f t="shared" ca="1" si="0"/>
        <v>0</v>
      </c>
      <c r="I27" s="137"/>
      <c r="J27" s="62" t="str">
        <f t="shared" si="1"/>
        <v/>
      </c>
      <c r="K27" s="62" t="str">
        <f t="shared" si="8"/>
        <v/>
      </c>
      <c r="L27" s="135"/>
      <c r="M27" s="135"/>
      <c r="N27" s="135"/>
      <c r="O27" s="138">
        <f t="shared" si="11"/>
        <v>0</v>
      </c>
      <c r="P27" s="139" t="str">
        <f t="shared" ca="1" si="3"/>
        <v/>
      </c>
      <c r="Q27" s="140"/>
      <c r="R27" s="140"/>
      <c r="S27" s="38"/>
      <c r="T27" s="20">
        <f t="shared" si="9"/>
        <v>0</v>
      </c>
      <c r="U27" s="10">
        <f t="shared" si="4"/>
        <v>0</v>
      </c>
      <c r="V27" s="141"/>
      <c r="W27" s="139" t="str">
        <f t="shared" si="5"/>
        <v/>
      </c>
      <c r="X27" s="138">
        <f t="shared" si="6"/>
        <v>0</v>
      </c>
      <c r="Y27" s="142">
        <f t="shared" si="10"/>
        <v>0</v>
      </c>
    </row>
    <row r="28" spans="2:25">
      <c r="B28" s="37"/>
      <c r="C28" s="134"/>
      <c r="D28" s="134"/>
      <c r="E28" s="135"/>
      <c r="F28" s="134"/>
      <c r="G28" s="136">
        <f t="shared" si="7"/>
        <v>0</v>
      </c>
      <c r="H28" s="136">
        <f t="shared" ca="1" si="0"/>
        <v>0</v>
      </c>
      <c r="I28" s="137"/>
      <c r="J28" s="62" t="str">
        <f t="shared" si="1"/>
        <v/>
      </c>
      <c r="K28" s="62" t="str">
        <f t="shared" si="8"/>
        <v/>
      </c>
      <c r="L28" s="135"/>
      <c r="M28" s="135"/>
      <c r="N28" s="135"/>
      <c r="O28" s="138">
        <f t="shared" si="11"/>
        <v>0</v>
      </c>
      <c r="P28" s="139" t="str">
        <f t="shared" ca="1" si="3"/>
        <v/>
      </c>
      <c r="Q28" s="140"/>
      <c r="R28" s="140"/>
      <c r="S28" s="148"/>
      <c r="T28" s="20">
        <f t="shared" si="9"/>
        <v>0</v>
      </c>
      <c r="U28" s="10">
        <f t="shared" si="4"/>
        <v>0</v>
      </c>
      <c r="V28" s="141"/>
      <c r="W28" s="139" t="str">
        <f t="shared" si="5"/>
        <v/>
      </c>
      <c r="X28" s="138">
        <f t="shared" si="6"/>
        <v>0</v>
      </c>
      <c r="Y28" s="142">
        <f t="shared" si="10"/>
        <v>0</v>
      </c>
    </row>
    <row r="29" spans="2:25">
      <c r="B29" s="37"/>
      <c r="C29" s="134"/>
      <c r="D29" s="134"/>
      <c r="E29" s="135"/>
      <c r="F29" s="134"/>
      <c r="G29" s="136">
        <f t="shared" si="7"/>
        <v>0</v>
      </c>
      <c r="H29" s="136">
        <f t="shared" ca="1" si="0"/>
        <v>0</v>
      </c>
      <c r="I29" s="137"/>
      <c r="J29" s="62" t="str">
        <f t="shared" si="1"/>
        <v/>
      </c>
      <c r="K29" s="62" t="str">
        <f t="shared" si="8"/>
        <v/>
      </c>
      <c r="L29" s="135"/>
      <c r="M29" s="135"/>
      <c r="N29" s="135"/>
      <c r="O29" s="138">
        <f t="shared" si="11"/>
        <v>0</v>
      </c>
      <c r="P29" s="139" t="str">
        <f t="shared" ca="1" si="3"/>
        <v/>
      </c>
      <c r="Q29" s="140"/>
      <c r="R29" s="140"/>
      <c r="S29" s="38"/>
      <c r="T29" s="20">
        <f t="shared" si="9"/>
        <v>0</v>
      </c>
      <c r="U29" s="10">
        <f t="shared" si="4"/>
        <v>0</v>
      </c>
      <c r="V29" s="141"/>
      <c r="W29" s="139" t="str">
        <f t="shared" si="5"/>
        <v/>
      </c>
      <c r="X29" s="138">
        <f t="shared" si="6"/>
        <v>0</v>
      </c>
      <c r="Y29" s="142">
        <f t="shared" si="10"/>
        <v>0</v>
      </c>
    </row>
    <row r="30" spans="2:25">
      <c r="B30" s="37"/>
      <c r="C30" s="134"/>
      <c r="D30" s="134"/>
      <c r="E30" s="135"/>
      <c r="F30" s="134"/>
      <c r="G30" s="136">
        <f t="shared" si="7"/>
        <v>0</v>
      </c>
      <c r="H30" s="136">
        <f t="shared" ca="1" si="0"/>
        <v>0</v>
      </c>
      <c r="I30" s="137"/>
      <c r="J30" s="62" t="str">
        <f t="shared" si="1"/>
        <v/>
      </c>
      <c r="K30" s="62" t="str">
        <f t="shared" si="8"/>
        <v/>
      </c>
      <c r="L30" s="135"/>
      <c r="M30" s="135"/>
      <c r="N30" s="135"/>
      <c r="O30" s="138">
        <f t="shared" si="11"/>
        <v>0</v>
      </c>
      <c r="P30" s="139" t="str">
        <f t="shared" ca="1" si="3"/>
        <v/>
      </c>
      <c r="Q30" s="140"/>
      <c r="R30" s="140"/>
      <c r="S30" s="38"/>
      <c r="T30" s="20">
        <f t="shared" si="9"/>
        <v>0</v>
      </c>
      <c r="U30" s="10">
        <f t="shared" si="4"/>
        <v>0</v>
      </c>
      <c r="V30" s="141"/>
      <c r="W30" s="139" t="str">
        <f t="shared" si="5"/>
        <v/>
      </c>
      <c r="X30" s="138">
        <f t="shared" si="6"/>
        <v>0</v>
      </c>
      <c r="Y30" s="142">
        <f t="shared" si="10"/>
        <v>0</v>
      </c>
    </row>
    <row r="31" spans="2:25">
      <c r="B31" s="37"/>
      <c r="C31" s="134"/>
      <c r="D31" s="134"/>
      <c r="E31" s="135"/>
      <c r="F31" s="134"/>
      <c r="G31" s="136">
        <f t="shared" si="7"/>
        <v>0</v>
      </c>
      <c r="H31" s="136">
        <f t="shared" ca="1" si="0"/>
        <v>0</v>
      </c>
      <c r="I31" s="137"/>
      <c r="J31" s="62" t="str">
        <f t="shared" si="1"/>
        <v/>
      </c>
      <c r="K31" s="62" t="str">
        <f t="shared" si="8"/>
        <v/>
      </c>
      <c r="L31" s="135"/>
      <c r="M31" s="135"/>
      <c r="N31" s="135"/>
      <c r="O31" s="138">
        <f t="shared" si="11"/>
        <v>0</v>
      </c>
      <c r="P31" s="139" t="str">
        <f t="shared" ca="1" si="3"/>
        <v/>
      </c>
      <c r="Q31" s="140"/>
      <c r="R31" s="140"/>
      <c r="S31" s="38"/>
      <c r="T31" s="20">
        <f t="shared" si="9"/>
        <v>0</v>
      </c>
      <c r="U31" s="10">
        <f t="shared" si="4"/>
        <v>0</v>
      </c>
      <c r="V31" s="141"/>
      <c r="W31" s="139" t="str">
        <f t="shared" si="5"/>
        <v/>
      </c>
      <c r="X31" s="138">
        <f t="shared" si="6"/>
        <v>0</v>
      </c>
      <c r="Y31" s="142">
        <f t="shared" si="10"/>
        <v>0</v>
      </c>
    </row>
    <row r="32" spans="2:25">
      <c r="B32" s="37"/>
      <c r="C32" s="134"/>
      <c r="D32" s="134"/>
      <c r="E32" s="135"/>
      <c r="F32" s="134"/>
      <c r="G32" s="136">
        <f t="shared" si="7"/>
        <v>0</v>
      </c>
      <c r="H32" s="136">
        <f t="shared" ca="1" si="0"/>
        <v>0</v>
      </c>
      <c r="I32" s="137"/>
      <c r="J32" s="62" t="str">
        <f t="shared" si="1"/>
        <v/>
      </c>
      <c r="K32" s="62" t="str">
        <f t="shared" si="8"/>
        <v/>
      </c>
      <c r="L32" s="135"/>
      <c r="M32" s="135"/>
      <c r="N32" s="135"/>
      <c r="O32" s="138">
        <f t="shared" si="11"/>
        <v>0</v>
      </c>
      <c r="P32" s="139" t="str">
        <f t="shared" ca="1" si="3"/>
        <v/>
      </c>
      <c r="Q32" s="140"/>
      <c r="R32" s="140"/>
      <c r="S32" s="38"/>
      <c r="T32" s="20">
        <f t="shared" si="9"/>
        <v>0</v>
      </c>
      <c r="U32" s="10">
        <f t="shared" si="4"/>
        <v>0</v>
      </c>
      <c r="V32" s="141"/>
      <c r="W32" s="139" t="str">
        <f t="shared" si="5"/>
        <v/>
      </c>
      <c r="X32" s="138">
        <f t="shared" si="6"/>
        <v>0</v>
      </c>
      <c r="Y32" s="142">
        <f t="shared" si="10"/>
        <v>0</v>
      </c>
    </row>
    <row r="33" spans="2:25">
      <c r="B33" s="37"/>
      <c r="C33" s="134"/>
      <c r="D33" s="134"/>
      <c r="E33" s="135"/>
      <c r="F33" s="134"/>
      <c r="G33" s="136">
        <f t="shared" si="7"/>
        <v>0</v>
      </c>
      <c r="H33" s="136">
        <f t="shared" ca="1" si="0"/>
        <v>0</v>
      </c>
      <c r="I33" s="137"/>
      <c r="J33" s="62" t="str">
        <f t="shared" si="1"/>
        <v/>
      </c>
      <c r="K33" s="62" t="str">
        <f t="shared" si="8"/>
        <v/>
      </c>
      <c r="L33" s="135"/>
      <c r="M33" s="135"/>
      <c r="N33" s="135"/>
      <c r="O33" s="138">
        <f t="shared" si="11"/>
        <v>0</v>
      </c>
      <c r="P33" s="139" t="str">
        <f t="shared" ca="1" si="3"/>
        <v/>
      </c>
      <c r="Q33" s="140"/>
      <c r="R33" s="140"/>
      <c r="S33" s="38"/>
      <c r="T33" s="20">
        <f t="shared" si="9"/>
        <v>0</v>
      </c>
      <c r="U33" s="10">
        <f t="shared" si="4"/>
        <v>0</v>
      </c>
      <c r="V33" s="141"/>
      <c r="W33" s="139" t="str">
        <f t="shared" si="5"/>
        <v/>
      </c>
      <c r="X33" s="138">
        <f t="shared" si="6"/>
        <v>0</v>
      </c>
      <c r="Y33" s="142">
        <f t="shared" si="10"/>
        <v>0</v>
      </c>
    </row>
    <row r="34" spans="2:25">
      <c r="B34" s="37"/>
      <c r="C34" s="134"/>
      <c r="D34" s="134"/>
      <c r="E34" s="135"/>
      <c r="F34" s="134"/>
      <c r="G34" s="136">
        <f t="shared" si="7"/>
        <v>0</v>
      </c>
      <c r="H34" s="136">
        <f t="shared" ca="1" si="0"/>
        <v>0</v>
      </c>
      <c r="I34" s="137"/>
      <c r="J34" s="62" t="str">
        <f t="shared" si="1"/>
        <v/>
      </c>
      <c r="K34" s="62" t="str">
        <f t="shared" si="8"/>
        <v/>
      </c>
      <c r="L34" s="135"/>
      <c r="M34" s="135"/>
      <c r="N34" s="135"/>
      <c r="O34" s="138">
        <f t="shared" si="11"/>
        <v>0</v>
      </c>
      <c r="P34" s="139" t="str">
        <f t="shared" ca="1" si="3"/>
        <v/>
      </c>
      <c r="Q34" s="140"/>
      <c r="R34" s="140"/>
      <c r="S34" s="38"/>
      <c r="T34" s="20">
        <f t="shared" si="9"/>
        <v>0</v>
      </c>
      <c r="U34" s="10">
        <f t="shared" si="4"/>
        <v>0</v>
      </c>
      <c r="V34" s="141"/>
      <c r="W34" s="139" t="str">
        <f t="shared" si="5"/>
        <v/>
      </c>
      <c r="X34" s="138">
        <f t="shared" si="6"/>
        <v>0</v>
      </c>
      <c r="Y34" s="142">
        <f t="shared" si="10"/>
        <v>0</v>
      </c>
    </row>
    <row r="35" spans="2:25">
      <c r="B35" s="37"/>
      <c r="C35" s="134"/>
      <c r="D35" s="134"/>
      <c r="E35" s="135"/>
      <c r="F35" s="134"/>
      <c r="G35" s="136">
        <f t="shared" si="7"/>
        <v>0</v>
      </c>
      <c r="H35" s="136">
        <f t="shared" ca="1" si="0"/>
        <v>0</v>
      </c>
      <c r="I35" s="137"/>
      <c r="J35" s="62" t="str">
        <f t="shared" si="1"/>
        <v/>
      </c>
      <c r="K35" s="62" t="str">
        <f t="shared" si="8"/>
        <v/>
      </c>
      <c r="L35" s="135"/>
      <c r="M35" s="135"/>
      <c r="N35" s="135"/>
      <c r="O35" s="138">
        <f t="shared" si="11"/>
        <v>0</v>
      </c>
      <c r="P35" s="139" t="str">
        <f t="shared" ca="1" si="3"/>
        <v/>
      </c>
      <c r="Q35" s="140"/>
      <c r="R35" s="140"/>
      <c r="S35" s="148"/>
      <c r="T35" s="20">
        <f t="shared" si="9"/>
        <v>0</v>
      </c>
      <c r="U35" s="10">
        <f t="shared" si="4"/>
        <v>0</v>
      </c>
      <c r="V35" s="141"/>
      <c r="W35" s="139" t="str">
        <f t="shared" si="5"/>
        <v/>
      </c>
      <c r="X35" s="138">
        <f t="shared" si="6"/>
        <v>0</v>
      </c>
      <c r="Y35" s="142">
        <f t="shared" si="10"/>
        <v>0</v>
      </c>
    </row>
    <row r="36" spans="2:25">
      <c r="B36" s="37"/>
      <c r="C36" s="134"/>
      <c r="D36" s="134"/>
      <c r="E36" s="135"/>
      <c r="F36" s="134"/>
      <c r="G36" s="136">
        <f t="shared" si="7"/>
        <v>0</v>
      </c>
      <c r="H36" s="136">
        <f t="shared" ca="1" si="0"/>
        <v>0</v>
      </c>
      <c r="I36" s="137"/>
      <c r="J36" s="62" t="str">
        <f t="shared" si="1"/>
        <v/>
      </c>
      <c r="K36" s="62" t="str">
        <f t="shared" si="8"/>
        <v/>
      </c>
      <c r="L36" s="135"/>
      <c r="M36" s="135"/>
      <c r="N36" s="135"/>
      <c r="O36" s="138">
        <f t="shared" si="11"/>
        <v>0</v>
      </c>
      <c r="P36" s="139" t="str">
        <f t="shared" ca="1" si="3"/>
        <v/>
      </c>
      <c r="Q36" s="140"/>
      <c r="R36" s="140"/>
      <c r="S36" s="38"/>
      <c r="T36" s="20">
        <f t="shared" si="9"/>
        <v>0</v>
      </c>
      <c r="U36" s="10">
        <f t="shared" si="4"/>
        <v>0</v>
      </c>
      <c r="V36" s="141"/>
      <c r="W36" s="139" t="str">
        <f t="shared" si="5"/>
        <v/>
      </c>
      <c r="X36" s="138">
        <f t="shared" si="6"/>
        <v>0</v>
      </c>
      <c r="Y36" s="142">
        <f t="shared" si="10"/>
        <v>0</v>
      </c>
    </row>
    <row r="37" spans="2:25">
      <c r="B37" s="37"/>
      <c r="C37" s="134"/>
      <c r="D37" s="134"/>
      <c r="E37" s="135"/>
      <c r="F37" s="134"/>
      <c r="G37" s="136">
        <f t="shared" si="7"/>
        <v>0</v>
      </c>
      <c r="H37" s="136">
        <f t="shared" ca="1" si="0"/>
        <v>0</v>
      </c>
      <c r="I37" s="137"/>
      <c r="J37" s="62" t="str">
        <f t="shared" si="1"/>
        <v/>
      </c>
      <c r="K37" s="62" t="str">
        <f t="shared" si="8"/>
        <v/>
      </c>
      <c r="L37" s="135"/>
      <c r="M37" s="135"/>
      <c r="N37" s="135"/>
      <c r="O37" s="138">
        <f t="shared" si="11"/>
        <v>0</v>
      </c>
      <c r="P37" s="139" t="str">
        <f t="shared" ca="1" si="3"/>
        <v/>
      </c>
      <c r="Q37" s="140"/>
      <c r="R37" s="140"/>
      <c r="S37" s="38"/>
      <c r="T37" s="20">
        <f t="shared" si="9"/>
        <v>0</v>
      </c>
      <c r="U37" s="10">
        <f t="shared" si="4"/>
        <v>0</v>
      </c>
      <c r="V37" s="141"/>
      <c r="W37" s="139" t="str">
        <f t="shared" si="5"/>
        <v/>
      </c>
      <c r="X37" s="138">
        <f t="shared" si="6"/>
        <v>0</v>
      </c>
      <c r="Y37" s="142">
        <f t="shared" si="10"/>
        <v>0</v>
      </c>
    </row>
    <row r="38" spans="2:25">
      <c r="B38" s="37"/>
      <c r="C38" s="134"/>
      <c r="D38" s="134"/>
      <c r="E38" s="135"/>
      <c r="F38" s="134"/>
      <c r="G38" s="136">
        <f t="shared" si="7"/>
        <v>0</v>
      </c>
      <c r="H38" s="136">
        <f t="shared" ca="1" si="0"/>
        <v>0</v>
      </c>
      <c r="I38" s="137"/>
      <c r="J38" s="62" t="str">
        <f t="shared" si="1"/>
        <v/>
      </c>
      <c r="K38" s="62" t="str">
        <f t="shared" si="8"/>
        <v/>
      </c>
      <c r="L38" s="135"/>
      <c r="M38" s="135"/>
      <c r="N38" s="135"/>
      <c r="O38" s="138">
        <f t="shared" si="11"/>
        <v>0</v>
      </c>
      <c r="P38" s="139" t="str">
        <f t="shared" ca="1" si="3"/>
        <v/>
      </c>
      <c r="Q38" s="140"/>
      <c r="R38" s="140"/>
      <c r="S38" s="38"/>
      <c r="T38" s="20">
        <f t="shared" si="9"/>
        <v>0</v>
      </c>
      <c r="U38" s="10">
        <f t="shared" si="4"/>
        <v>0</v>
      </c>
      <c r="V38" s="141"/>
      <c r="W38" s="139" t="str">
        <f t="shared" si="5"/>
        <v/>
      </c>
      <c r="X38" s="138">
        <f t="shared" si="6"/>
        <v>0</v>
      </c>
      <c r="Y38" s="142">
        <f t="shared" si="10"/>
        <v>0</v>
      </c>
    </row>
    <row r="39" spans="2:25">
      <c r="B39" s="37"/>
      <c r="C39" s="134"/>
      <c r="D39" s="134"/>
      <c r="E39" s="135"/>
      <c r="F39" s="134"/>
      <c r="G39" s="136">
        <f t="shared" si="7"/>
        <v>0</v>
      </c>
      <c r="H39" s="136">
        <f t="shared" ca="1" si="0"/>
        <v>0</v>
      </c>
      <c r="I39" s="137"/>
      <c r="J39" s="62" t="str">
        <f t="shared" si="1"/>
        <v/>
      </c>
      <c r="K39" s="62" t="str">
        <f t="shared" si="8"/>
        <v/>
      </c>
      <c r="L39" s="135"/>
      <c r="M39" s="135"/>
      <c r="N39" s="135"/>
      <c r="O39" s="138">
        <f t="shared" si="11"/>
        <v>0</v>
      </c>
      <c r="P39" s="139" t="str">
        <f t="shared" ca="1" si="3"/>
        <v/>
      </c>
      <c r="Q39" s="140"/>
      <c r="R39" s="140"/>
      <c r="S39" s="38"/>
      <c r="T39" s="20">
        <f t="shared" si="9"/>
        <v>0</v>
      </c>
      <c r="U39" s="10">
        <f t="shared" si="4"/>
        <v>0</v>
      </c>
      <c r="V39" s="141"/>
      <c r="W39" s="139" t="str">
        <f t="shared" si="5"/>
        <v/>
      </c>
      <c r="X39" s="138">
        <f t="shared" si="6"/>
        <v>0</v>
      </c>
      <c r="Y39" s="142">
        <f t="shared" si="10"/>
        <v>0</v>
      </c>
    </row>
    <row r="40" spans="2:25">
      <c r="B40" s="37"/>
      <c r="C40" s="134"/>
      <c r="D40" s="134"/>
      <c r="E40" s="135"/>
      <c r="F40" s="134"/>
      <c r="G40" s="136">
        <f t="shared" si="7"/>
        <v>0</v>
      </c>
      <c r="H40" s="136">
        <f t="shared" ca="1" si="0"/>
        <v>0</v>
      </c>
      <c r="I40" s="137"/>
      <c r="J40" s="62" t="str">
        <f t="shared" si="1"/>
        <v/>
      </c>
      <c r="K40" s="62" t="str">
        <f t="shared" si="8"/>
        <v/>
      </c>
      <c r="L40" s="135"/>
      <c r="M40" s="135"/>
      <c r="N40" s="135"/>
      <c r="O40" s="138">
        <f t="shared" si="11"/>
        <v>0</v>
      </c>
      <c r="P40" s="139" t="str">
        <f t="shared" ca="1" si="3"/>
        <v/>
      </c>
      <c r="Q40" s="140"/>
      <c r="R40" s="140"/>
      <c r="S40" s="38"/>
      <c r="T40" s="20">
        <f t="shared" si="9"/>
        <v>0</v>
      </c>
      <c r="U40" s="10">
        <f t="shared" si="4"/>
        <v>0</v>
      </c>
      <c r="V40" s="141"/>
      <c r="W40" s="139" t="str">
        <f t="shared" si="5"/>
        <v/>
      </c>
      <c r="X40" s="138">
        <f t="shared" si="6"/>
        <v>0</v>
      </c>
      <c r="Y40" s="142">
        <f t="shared" si="10"/>
        <v>0</v>
      </c>
    </row>
    <row r="41" spans="2:25">
      <c r="B41" s="37"/>
      <c r="C41" s="134"/>
      <c r="D41" s="134"/>
      <c r="E41" s="135"/>
      <c r="F41" s="134"/>
      <c r="G41" s="136">
        <f t="shared" si="7"/>
        <v>0</v>
      </c>
      <c r="H41" s="136">
        <f t="shared" ca="1" si="0"/>
        <v>0</v>
      </c>
      <c r="I41" s="137"/>
      <c r="J41" s="62" t="str">
        <f t="shared" si="1"/>
        <v/>
      </c>
      <c r="K41" s="62" t="str">
        <f t="shared" si="8"/>
        <v/>
      </c>
      <c r="L41" s="135"/>
      <c r="M41" s="135"/>
      <c r="N41" s="135"/>
      <c r="O41" s="138">
        <f t="shared" si="11"/>
        <v>0</v>
      </c>
      <c r="P41" s="139" t="str">
        <f t="shared" ca="1" si="3"/>
        <v/>
      </c>
      <c r="Q41" s="140"/>
      <c r="R41" s="140"/>
      <c r="S41" s="38"/>
      <c r="T41" s="20">
        <f t="shared" si="9"/>
        <v>0</v>
      </c>
      <c r="U41" s="10">
        <f t="shared" si="4"/>
        <v>0</v>
      </c>
      <c r="V41" s="141"/>
      <c r="W41" s="139" t="str">
        <f t="shared" si="5"/>
        <v/>
      </c>
      <c r="X41" s="138">
        <f t="shared" si="6"/>
        <v>0</v>
      </c>
      <c r="Y41" s="142">
        <f t="shared" si="10"/>
        <v>0</v>
      </c>
    </row>
    <row r="42" spans="2:25">
      <c r="B42" s="37"/>
      <c r="C42" s="134"/>
      <c r="D42" s="134"/>
      <c r="E42" s="135"/>
      <c r="F42" s="134"/>
      <c r="G42" s="136">
        <f t="shared" si="7"/>
        <v>0</v>
      </c>
      <c r="H42" s="136">
        <f t="shared" ca="1" si="0"/>
        <v>0</v>
      </c>
      <c r="I42" s="137"/>
      <c r="J42" s="62" t="str">
        <f t="shared" si="1"/>
        <v/>
      </c>
      <c r="K42" s="62" t="str">
        <f t="shared" si="8"/>
        <v/>
      </c>
      <c r="L42" s="135"/>
      <c r="M42" s="135"/>
      <c r="N42" s="135"/>
      <c r="O42" s="138">
        <f t="shared" si="11"/>
        <v>0</v>
      </c>
      <c r="P42" s="139" t="str">
        <f t="shared" ca="1" si="3"/>
        <v/>
      </c>
      <c r="Q42" s="140"/>
      <c r="R42" s="140"/>
      <c r="S42" s="38"/>
      <c r="T42" s="20">
        <f t="shared" si="9"/>
        <v>0</v>
      </c>
      <c r="U42" s="10">
        <f t="shared" si="4"/>
        <v>0</v>
      </c>
      <c r="V42" s="141"/>
      <c r="W42" s="139" t="str">
        <f t="shared" si="5"/>
        <v/>
      </c>
      <c r="X42" s="138">
        <f t="shared" si="6"/>
        <v>0</v>
      </c>
      <c r="Y42" s="142">
        <f t="shared" si="10"/>
        <v>0</v>
      </c>
    </row>
    <row r="43" spans="2:25">
      <c r="B43" s="37"/>
      <c r="C43" s="134"/>
      <c r="D43" s="134"/>
      <c r="E43" s="135"/>
      <c r="F43" s="134"/>
      <c r="G43" s="136">
        <f t="shared" si="7"/>
        <v>0</v>
      </c>
      <c r="H43" s="136">
        <f t="shared" ca="1" si="0"/>
        <v>0</v>
      </c>
      <c r="I43" s="137"/>
      <c r="J43" s="62" t="str">
        <f t="shared" si="1"/>
        <v/>
      </c>
      <c r="K43" s="62" t="str">
        <f t="shared" si="8"/>
        <v/>
      </c>
      <c r="L43" s="135"/>
      <c r="M43" s="135"/>
      <c r="N43" s="135"/>
      <c r="O43" s="138">
        <f t="shared" si="11"/>
        <v>0</v>
      </c>
      <c r="P43" s="139" t="str">
        <f t="shared" ca="1" si="3"/>
        <v/>
      </c>
      <c r="Q43" s="140"/>
      <c r="R43" s="140"/>
      <c r="S43" s="38"/>
      <c r="T43" s="20">
        <f t="shared" si="9"/>
        <v>0</v>
      </c>
      <c r="U43" s="10">
        <f t="shared" si="4"/>
        <v>0</v>
      </c>
      <c r="V43" s="141"/>
      <c r="W43" s="139" t="str">
        <f t="shared" si="5"/>
        <v/>
      </c>
      <c r="X43" s="138">
        <f t="shared" si="6"/>
        <v>0</v>
      </c>
      <c r="Y43" s="142">
        <f t="shared" si="10"/>
        <v>0</v>
      </c>
    </row>
    <row r="44" spans="2:25">
      <c r="B44" s="37"/>
      <c r="C44" s="134"/>
      <c r="D44" s="134"/>
      <c r="E44" s="135"/>
      <c r="F44" s="134"/>
      <c r="G44" s="136">
        <f t="shared" si="7"/>
        <v>0</v>
      </c>
      <c r="H44" s="136">
        <f t="shared" ca="1" si="0"/>
        <v>0</v>
      </c>
      <c r="I44" s="137"/>
      <c r="J44" s="62" t="str">
        <f t="shared" si="1"/>
        <v/>
      </c>
      <c r="K44" s="62" t="str">
        <f t="shared" si="8"/>
        <v/>
      </c>
      <c r="L44" s="135"/>
      <c r="M44" s="135"/>
      <c r="N44" s="135"/>
      <c r="O44" s="138">
        <f t="shared" si="11"/>
        <v>0</v>
      </c>
      <c r="P44" s="139" t="str">
        <f t="shared" ca="1" si="3"/>
        <v/>
      </c>
      <c r="Q44" s="140"/>
      <c r="R44" s="140"/>
      <c r="S44" s="38"/>
      <c r="T44" s="20">
        <f t="shared" si="9"/>
        <v>0</v>
      </c>
      <c r="U44" s="10">
        <f t="shared" si="4"/>
        <v>0</v>
      </c>
      <c r="V44" s="141"/>
      <c r="W44" s="139" t="str">
        <f t="shared" si="5"/>
        <v/>
      </c>
      <c r="X44" s="138">
        <f t="shared" si="6"/>
        <v>0</v>
      </c>
      <c r="Y44" s="142">
        <f t="shared" si="10"/>
        <v>0</v>
      </c>
    </row>
    <row r="45" spans="2:25">
      <c r="B45" s="37"/>
      <c r="C45" s="134"/>
      <c r="D45" s="134"/>
      <c r="E45" s="135"/>
      <c r="F45" s="134"/>
      <c r="G45" s="136">
        <f t="shared" si="7"/>
        <v>0</v>
      </c>
      <c r="H45" s="136">
        <f t="shared" ref="H45:H76" ca="1" si="14">IF(G45="","",IF(AND(C45="Put",P45="OPEN"),G45,0))</f>
        <v>0</v>
      </c>
      <c r="I45" s="137"/>
      <c r="J45" s="62" t="str">
        <f t="shared" ref="J45:J76" si="15">IF(OR(B45="",I45=""),"",I45-B45+1)</f>
        <v/>
      </c>
      <c r="K45" s="62" t="str">
        <f t="shared" si="8"/>
        <v/>
      </c>
      <c r="L45" s="135"/>
      <c r="M45" s="135"/>
      <c r="N45" s="135"/>
      <c r="O45" s="138">
        <f t="shared" si="11"/>
        <v>0</v>
      </c>
      <c r="P45" s="139" t="str">
        <f t="shared" ref="P45:P76" ca="1" si="16">IF(B45="","",IF(OR(AND(C45="Aktie",AND(I45&lt;&gt;"",I45&lt;=TODAY())),AND(C45&lt;&gt;"Aktie",I45&lt;TODAY()),AND(C45&lt;&gt;"Aktie",Q45="Nein")),"CLOSED","OPEN"))</f>
        <v/>
      </c>
      <c r="Q45" s="140"/>
      <c r="R45" s="140"/>
      <c r="S45" s="38"/>
      <c r="T45" s="20">
        <f t="shared" si="9"/>
        <v>0</v>
      </c>
      <c r="U45" s="10">
        <f t="shared" ref="U45:U76" si="17">IFERROR(T45/J45*360,0)</f>
        <v>0</v>
      </c>
      <c r="V45" s="141"/>
      <c r="W45" s="139" t="str">
        <f t="shared" si="5"/>
        <v/>
      </c>
      <c r="X45" s="138">
        <f t="shared" ref="X45:X70" si="18">V45*$I$6</f>
        <v>0</v>
      </c>
      <c r="Y45" s="142">
        <f t="shared" si="10"/>
        <v>0</v>
      </c>
    </row>
    <row r="46" spans="2:25">
      <c r="B46" s="37"/>
      <c r="C46" s="134"/>
      <c r="D46" s="134"/>
      <c r="E46" s="135"/>
      <c r="F46" s="134"/>
      <c r="G46" s="136">
        <f t="shared" si="7"/>
        <v>0</v>
      </c>
      <c r="H46" s="136">
        <f t="shared" ca="1" si="14"/>
        <v>0</v>
      </c>
      <c r="I46" s="137"/>
      <c r="J46" s="62" t="str">
        <f t="shared" si="15"/>
        <v/>
      </c>
      <c r="K46" s="62" t="str">
        <f t="shared" si="8"/>
        <v/>
      </c>
      <c r="L46" s="135"/>
      <c r="M46" s="135"/>
      <c r="N46" s="135"/>
      <c r="O46" s="138">
        <f t="shared" si="11"/>
        <v>0</v>
      </c>
      <c r="P46" s="139" t="str">
        <f t="shared" ca="1" si="16"/>
        <v/>
      </c>
      <c r="Q46" s="140"/>
      <c r="R46" s="140"/>
      <c r="S46" s="38"/>
      <c r="T46" s="20">
        <f t="shared" si="9"/>
        <v>0</v>
      </c>
      <c r="U46" s="10">
        <f t="shared" si="17"/>
        <v>0</v>
      </c>
      <c r="V46" s="141"/>
      <c r="W46" s="139" t="str">
        <f t="shared" si="5"/>
        <v/>
      </c>
      <c r="X46" s="138">
        <f t="shared" si="18"/>
        <v>0</v>
      </c>
      <c r="Y46" s="142">
        <f t="shared" si="10"/>
        <v>0</v>
      </c>
    </row>
    <row r="47" spans="2:25">
      <c r="B47" s="37"/>
      <c r="C47" s="134"/>
      <c r="D47" s="134"/>
      <c r="E47" s="135"/>
      <c r="F47" s="134"/>
      <c r="G47" s="136">
        <f t="shared" si="7"/>
        <v>0</v>
      </c>
      <c r="H47" s="136">
        <f t="shared" ca="1" si="14"/>
        <v>0</v>
      </c>
      <c r="I47" s="137"/>
      <c r="J47" s="62" t="str">
        <f t="shared" si="15"/>
        <v/>
      </c>
      <c r="K47" s="62" t="str">
        <f t="shared" si="8"/>
        <v/>
      </c>
      <c r="L47" s="135"/>
      <c r="M47" s="135"/>
      <c r="N47" s="135"/>
      <c r="O47" s="138">
        <f t="shared" si="11"/>
        <v>0</v>
      </c>
      <c r="P47" s="139" t="str">
        <f t="shared" ca="1" si="16"/>
        <v/>
      </c>
      <c r="Q47" s="140"/>
      <c r="R47" s="140"/>
      <c r="S47" s="38"/>
      <c r="T47" s="20">
        <f t="shared" si="9"/>
        <v>0</v>
      </c>
      <c r="U47" s="10">
        <f t="shared" si="17"/>
        <v>0</v>
      </c>
      <c r="V47" s="141"/>
      <c r="W47" s="139" t="str">
        <f t="shared" si="5"/>
        <v/>
      </c>
      <c r="X47" s="138">
        <f t="shared" si="18"/>
        <v>0</v>
      </c>
      <c r="Y47" s="142">
        <f t="shared" si="10"/>
        <v>0</v>
      </c>
    </row>
    <row r="48" spans="2:25">
      <c r="B48" s="37"/>
      <c r="C48" s="134"/>
      <c r="D48" s="134"/>
      <c r="E48" s="135"/>
      <c r="F48" s="134"/>
      <c r="G48" s="136">
        <f t="shared" si="7"/>
        <v>0</v>
      </c>
      <c r="H48" s="136">
        <f t="shared" ca="1" si="14"/>
        <v>0</v>
      </c>
      <c r="I48" s="137"/>
      <c r="J48" s="62" t="str">
        <f t="shared" si="15"/>
        <v/>
      </c>
      <c r="K48" s="62" t="str">
        <f t="shared" si="8"/>
        <v/>
      </c>
      <c r="L48" s="135"/>
      <c r="M48" s="135"/>
      <c r="N48" s="135"/>
      <c r="O48" s="138">
        <f t="shared" si="11"/>
        <v>0</v>
      </c>
      <c r="P48" s="139" t="str">
        <f t="shared" ca="1" si="16"/>
        <v/>
      </c>
      <c r="Q48" s="140"/>
      <c r="R48" s="140"/>
      <c r="S48" s="38"/>
      <c r="T48" s="20">
        <f t="shared" si="9"/>
        <v>0</v>
      </c>
      <c r="U48" s="10">
        <f t="shared" si="17"/>
        <v>0</v>
      </c>
      <c r="V48" s="141"/>
      <c r="W48" s="139" t="str">
        <f t="shared" si="5"/>
        <v/>
      </c>
      <c r="X48" s="138">
        <f t="shared" si="18"/>
        <v>0</v>
      </c>
      <c r="Y48" s="142">
        <f t="shared" si="10"/>
        <v>0</v>
      </c>
    </row>
    <row r="49" spans="2:25">
      <c r="B49" s="37"/>
      <c r="C49" s="134"/>
      <c r="D49" s="134"/>
      <c r="E49" s="135"/>
      <c r="F49" s="134"/>
      <c r="G49" s="136">
        <f t="shared" si="7"/>
        <v>0</v>
      </c>
      <c r="H49" s="136">
        <f t="shared" ca="1" si="14"/>
        <v>0</v>
      </c>
      <c r="I49" s="137"/>
      <c r="J49" s="62" t="str">
        <f t="shared" si="15"/>
        <v/>
      </c>
      <c r="K49" s="62" t="str">
        <f t="shared" si="8"/>
        <v/>
      </c>
      <c r="L49" s="135"/>
      <c r="M49" s="135"/>
      <c r="N49" s="135"/>
      <c r="O49" s="138">
        <f t="shared" si="11"/>
        <v>0</v>
      </c>
      <c r="P49" s="139" t="str">
        <f t="shared" ca="1" si="16"/>
        <v/>
      </c>
      <c r="Q49" s="140"/>
      <c r="R49" s="140"/>
      <c r="S49" s="38"/>
      <c r="T49" s="20">
        <f t="shared" si="9"/>
        <v>0</v>
      </c>
      <c r="U49" s="10">
        <f t="shared" si="17"/>
        <v>0</v>
      </c>
      <c r="V49" s="141"/>
      <c r="W49" s="139" t="str">
        <f t="shared" si="5"/>
        <v/>
      </c>
      <c r="X49" s="138">
        <f t="shared" si="18"/>
        <v>0</v>
      </c>
      <c r="Y49" s="142">
        <f t="shared" si="10"/>
        <v>0</v>
      </c>
    </row>
    <row r="50" spans="2:25">
      <c r="B50" s="37"/>
      <c r="C50" s="134"/>
      <c r="D50" s="134"/>
      <c r="E50" s="135"/>
      <c r="F50" s="134"/>
      <c r="G50" s="136">
        <f t="shared" si="7"/>
        <v>0</v>
      </c>
      <c r="H50" s="136">
        <f t="shared" ca="1" si="14"/>
        <v>0</v>
      </c>
      <c r="I50" s="137"/>
      <c r="J50" s="62" t="str">
        <f t="shared" si="15"/>
        <v/>
      </c>
      <c r="K50" s="62" t="str">
        <f t="shared" si="8"/>
        <v/>
      </c>
      <c r="L50" s="135"/>
      <c r="M50" s="135"/>
      <c r="N50" s="135"/>
      <c r="O50" s="138">
        <f t="shared" si="11"/>
        <v>0</v>
      </c>
      <c r="P50" s="139" t="str">
        <f t="shared" ca="1" si="16"/>
        <v/>
      </c>
      <c r="Q50" s="140"/>
      <c r="R50" s="140"/>
      <c r="S50" s="38"/>
      <c r="T50" s="20">
        <f t="shared" si="9"/>
        <v>0</v>
      </c>
      <c r="U50" s="10">
        <f t="shared" si="17"/>
        <v>0</v>
      </c>
      <c r="V50" s="141"/>
      <c r="W50" s="139" t="str">
        <f t="shared" si="5"/>
        <v/>
      </c>
      <c r="X50" s="138">
        <f t="shared" si="18"/>
        <v>0</v>
      </c>
      <c r="Y50" s="142">
        <f t="shared" si="10"/>
        <v>0</v>
      </c>
    </row>
    <row r="51" spans="2:25">
      <c r="B51" s="37"/>
      <c r="C51" s="134"/>
      <c r="D51" s="134"/>
      <c r="E51" s="135"/>
      <c r="F51" s="134"/>
      <c r="G51" s="136">
        <f t="shared" si="7"/>
        <v>0</v>
      </c>
      <c r="H51" s="136">
        <f t="shared" ca="1" si="14"/>
        <v>0</v>
      </c>
      <c r="I51" s="137"/>
      <c r="J51" s="62" t="str">
        <f t="shared" si="15"/>
        <v/>
      </c>
      <c r="K51" s="62" t="str">
        <f t="shared" si="8"/>
        <v/>
      </c>
      <c r="L51" s="135"/>
      <c r="M51" s="135"/>
      <c r="N51" s="135"/>
      <c r="O51" s="138">
        <f t="shared" si="11"/>
        <v>0</v>
      </c>
      <c r="P51" s="139" t="str">
        <f t="shared" ca="1" si="16"/>
        <v/>
      </c>
      <c r="Q51" s="140"/>
      <c r="R51" s="140"/>
      <c r="S51" s="38"/>
      <c r="T51" s="20">
        <f t="shared" si="9"/>
        <v>0</v>
      </c>
      <c r="U51" s="10">
        <f t="shared" si="17"/>
        <v>0</v>
      </c>
      <c r="V51" s="141"/>
      <c r="W51" s="139" t="str">
        <f t="shared" si="5"/>
        <v/>
      </c>
      <c r="X51" s="138">
        <f t="shared" si="18"/>
        <v>0</v>
      </c>
      <c r="Y51" s="142">
        <f t="shared" si="10"/>
        <v>0</v>
      </c>
    </row>
    <row r="52" spans="2:25">
      <c r="B52" s="37"/>
      <c r="C52" s="134"/>
      <c r="D52" s="134"/>
      <c r="E52" s="135"/>
      <c r="F52" s="134"/>
      <c r="G52" s="136">
        <f t="shared" si="7"/>
        <v>0</v>
      </c>
      <c r="H52" s="136">
        <f t="shared" ca="1" si="14"/>
        <v>0</v>
      </c>
      <c r="I52" s="137"/>
      <c r="J52" s="62" t="str">
        <f t="shared" si="15"/>
        <v/>
      </c>
      <c r="K52" s="62" t="str">
        <f t="shared" si="8"/>
        <v/>
      </c>
      <c r="L52" s="135"/>
      <c r="M52" s="135"/>
      <c r="N52" s="135"/>
      <c r="O52" s="138">
        <f t="shared" si="11"/>
        <v>0</v>
      </c>
      <c r="P52" s="139" t="str">
        <f t="shared" ca="1" si="16"/>
        <v/>
      </c>
      <c r="Q52" s="140"/>
      <c r="R52" s="140"/>
      <c r="S52" s="38"/>
      <c r="T52" s="20">
        <f t="shared" si="9"/>
        <v>0</v>
      </c>
      <c r="U52" s="10">
        <f t="shared" si="17"/>
        <v>0</v>
      </c>
      <c r="V52" s="141"/>
      <c r="W52" s="139" t="str">
        <f t="shared" si="5"/>
        <v/>
      </c>
      <c r="X52" s="138">
        <f t="shared" si="18"/>
        <v>0</v>
      </c>
      <c r="Y52" s="142">
        <f t="shared" si="10"/>
        <v>0</v>
      </c>
    </row>
    <row r="53" spans="2:25">
      <c r="B53" s="37"/>
      <c r="C53" s="134"/>
      <c r="D53" s="134"/>
      <c r="E53" s="135"/>
      <c r="F53" s="134"/>
      <c r="G53" s="136">
        <f t="shared" si="7"/>
        <v>0</v>
      </c>
      <c r="H53" s="136">
        <f t="shared" ca="1" si="14"/>
        <v>0</v>
      </c>
      <c r="I53" s="137"/>
      <c r="J53" s="62" t="str">
        <f t="shared" si="15"/>
        <v/>
      </c>
      <c r="K53" s="62" t="str">
        <f t="shared" si="8"/>
        <v/>
      </c>
      <c r="L53" s="135"/>
      <c r="M53" s="135"/>
      <c r="N53" s="135"/>
      <c r="O53" s="138">
        <f t="shared" si="11"/>
        <v>0</v>
      </c>
      <c r="P53" s="139" t="str">
        <f t="shared" ca="1" si="16"/>
        <v/>
      </c>
      <c r="Q53" s="140"/>
      <c r="R53" s="140"/>
      <c r="S53" s="38"/>
      <c r="T53" s="20">
        <f t="shared" si="9"/>
        <v>0</v>
      </c>
      <c r="U53" s="10">
        <f t="shared" si="17"/>
        <v>0</v>
      </c>
      <c r="V53" s="141"/>
      <c r="W53" s="139" t="str">
        <f t="shared" si="5"/>
        <v/>
      </c>
      <c r="X53" s="138">
        <f t="shared" si="18"/>
        <v>0</v>
      </c>
      <c r="Y53" s="142">
        <f t="shared" si="10"/>
        <v>0</v>
      </c>
    </row>
    <row r="54" spans="2:25">
      <c r="B54" s="37"/>
      <c r="C54" s="134"/>
      <c r="D54" s="134"/>
      <c r="E54" s="135"/>
      <c r="F54" s="134"/>
      <c r="G54" s="136">
        <f t="shared" si="7"/>
        <v>0</v>
      </c>
      <c r="H54" s="136">
        <f t="shared" ca="1" si="14"/>
        <v>0</v>
      </c>
      <c r="I54" s="137"/>
      <c r="J54" s="62" t="str">
        <f t="shared" si="15"/>
        <v/>
      </c>
      <c r="K54" s="62" t="str">
        <f t="shared" si="8"/>
        <v/>
      </c>
      <c r="L54" s="135"/>
      <c r="M54" s="135"/>
      <c r="N54" s="135"/>
      <c r="O54" s="138">
        <f t="shared" si="11"/>
        <v>0</v>
      </c>
      <c r="P54" s="139" t="str">
        <f t="shared" ca="1" si="16"/>
        <v/>
      </c>
      <c r="Q54" s="140"/>
      <c r="R54" s="140"/>
      <c r="S54" s="38"/>
      <c r="T54" s="20">
        <f t="shared" si="9"/>
        <v>0</v>
      </c>
      <c r="U54" s="10">
        <f t="shared" si="17"/>
        <v>0</v>
      </c>
      <c r="V54" s="141"/>
      <c r="W54" s="139" t="str">
        <f t="shared" si="5"/>
        <v/>
      </c>
      <c r="X54" s="138">
        <f t="shared" si="18"/>
        <v>0</v>
      </c>
      <c r="Y54" s="142">
        <f t="shared" si="10"/>
        <v>0</v>
      </c>
    </row>
    <row r="55" spans="2:25">
      <c r="B55" s="37"/>
      <c r="C55" s="134"/>
      <c r="D55" s="134"/>
      <c r="E55" s="135"/>
      <c r="F55" s="134"/>
      <c r="G55" s="136">
        <f t="shared" si="7"/>
        <v>0</v>
      </c>
      <c r="H55" s="136">
        <f t="shared" ca="1" si="14"/>
        <v>0</v>
      </c>
      <c r="I55" s="137"/>
      <c r="J55" s="62" t="str">
        <f t="shared" si="15"/>
        <v/>
      </c>
      <c r="K55" s="62" t="str">
        <f t="shared" si="8"/>
        <v/>
      </c>
      <c r="L55" s="135"/>
      <c r="M55" s="135"/>
      <c r="N55" s="135"/>
      <c r="O55" s="138">
        <f t="shared" si="11"/>
        <v>0</v>
      </c>
      <c r="P55" s="139" t="str">
        <f t="shared" ca="1" si="16"/>
        <v/>
      </c>
      <c r="Q55" s="140"/>
      <c r="R55" s="140"/>
      <c r="S55" s="38"/>
      <c r="T55" s="20">
        <f t="shared" si="9"/>
        <v>0</v>
      </c>
      <c r="U55" s="10">
        <f t="shared" si="17"/>
        <v>0</v>
      </c>
      <c r="V55" s="141"/>
      <c r="W55" s="139" t="str">
        <f t="shared" si="5"/>
        <v/>
      </c>
      <c r="X55" s="138">
        <f t="shared" si="18"/>
        <v>0</v>
      </c>
      <c r="Y55" s="142">
        <f t="shared" si="10"/>
        <v>0</v>
      </c>
    </row>
    <row r="56" spans="2:25">
      <c r="B56" s="37"/>
      <c r="C56" s="134"/>
      <c r="D56" s="134"/>
      <c r="E56" s="135"/>
      <c r="F56" s="134"/>
      <c r="G56" s="136">
        <f t="shared" si="7"/>
        <v>0</v>
      </c>
      <c r="H56" s="136">
        <f t="shared" ca="1" si="14"/>
        <v>0</v>
      </c>
      <c r="I56" s="137"/>
      <c r="J56" s="62" t="str">
        <f t="shared" si="15"/>
        <v/>
      </c>
      <c r="K56" s="62" t="str">
        <f t="shared" si="8"/>
        <v/>
      </c>
      <c r="L56" s="135"/>
      <c r="M56" s="135"/>
      <c r="N56" s="135"/>
      <c r="O56" s="138">
        <f t="shared" si="11"/>
        <v>0</v>
      </c>
      <c r="P56" s="139" t="str">
        <f t="shared" ca="1" si="16"/>
        <v/>
      </c>
      <c r="Q56" s="140"/>
      <c r="R56" s="140"/>
      <c r="S56" s="38"/>
      <c r="T56" s="20">
        <f t="shared" si="9"/>
        <v>0</v>
      </c>
      <c r="U56" s="10">
        <f t="shared" si="17"/>
        <v>0</v>
      </c>
      <c r="V56" s="141"/>
      <c r="W56" s="139" t="str">
        <f t="shared" si="5"/>
        <v/>
      </c>
      <c r="X56" s="138">
        <f t="shared" si="18"/>
        <v>0</v>
      </c>
      <c r="Y56" s="142">
        <f t="shared" si="10"/>
        <v>0</v>
      </c>
    </row>
    <row r="57" spans="2:25">
      <c r="B57" s="37"/>
      <c r="C57" s="134"/>
      <c r="D57" s="134"/>
      <c r="E57" s="135"/>
      <c r="F57" s="134"/>
      <c r="G57" s="136">
        <f t="shared" si="7"/>
        <v>0</v>
      </c>
      <c r="H57" s="136">
        <f t="shared" ca="1" si="14"/>
        <v>0</v>
      </c>
      <c r="I57" s="137"/>
      <c r="J57" s="62" t="str">
        <f t="shared" si="15"/>
        <v/>
      </c>
      <c r="K57" s="62" t="str">
        <f t="shared" si="8"/>
        <v/>
      </c>
      <c r="L57" s="135"/>
      <c r="M57" s="135"/>
      <c r="N57" s="135"/>
      <c r="O57" s="138">
        <f t="shared" si="11"/>
        <v>0</v>
      </c>
      <c r="P57" s="139" t="str">
        <f t="shared" ca="1" si="16"/>
        <v/>
      </c>
      <c r="Q57" s="140"/>
      <c r="R57" s="140"/>
      <c r="S57" s="38"/>
      <c r="T57" s="20">
        <f t="shared" si="9"/>
        <v>0</v>
      </c>
      <c r="U57" s="10">
        <f t="shared" si="17"/>
        <v>0</v>
      </c>
      <c r="V57" s="141"/>
      <c r="W57" s="139" t="str">
        <f t="shared" si="5"/>
        <v/>
      </c>
      <c r="X57" s="138">
        <f t="shared" si="18"/>
        <v>0</v>
      </c>
      <c r="Y57" s="142">
        <f t="shared" si="10"/>
        <v>0</v>
      </c>
    </row>
    <row r="58" spans="2:25">
      <c r="B58" s="37"/>
      <c r="C58" s="134"/>
      <c r="D58" s="134"/>
      <c r="E58" s="135"/>
      <c r="F58" s="134"/>
      <c r="G58" s="136">
        <f t="shared" si="7"/>
        <v>0</v>
      </c>
      <c r="H58" s="136">
        <f t="shared" ca="1" si="14"/>
        <v>0</v>
      </c>
      <c r="I58" s="137"/>
      <c r="J58" s="62" t="str">
        <f t="shared" si="15"/>
        <v/>
      </c>
      <c r="K58" s="62" t="str">
        <f t="shared" si="8"/>
        <v/>
      </c>
      <c r="L58" s="135"/>
      <c r="M58" s="135"/>
      <c r="N58" s="135"/>
      <c r="O58" s="138">
        <f t="shared" si="11"/>
        <v>0</v>
      </c>
      <c r="P58" s="139" t="str">
        <f t="shared" ca="1" si="16"/>
        <v/>
      </c>
      <c r="Q58" s="140"/>
      <c r="R58" s="140"/>
      <c r="S58" s="38"/>
      <c r="T58" s="20">
        <f t="shared" si="9"/>
        <v>0</v>
      </c>
      <c r="U58" s="10">
        <f t="shared" si="17"/>
        <v>0</v>
      </c>
      <c r="V58" s="141"/>
      <c r="W58" s="139" t="str">
        <f t="shared" si="5"/>
        <v/>
      </c>
      <c r="X58" s="138">
        <f t="shared" si="18"/>
        <v>0</v>
      </c>
      <c r="Y58" s="142">
        <f t="shared" si="10"/>
        <v>0</v>
      </c>
    </row>
    <row r="59" spans="2:25">
      <c r="B59" s="37"/>
      <c r="C59" s="134"/>
      <c r="D59" s="134"/>
      <c r="E59" s="135"/>
      <c r="F59" s="134"/>
      <c r="G59" s="136">
        <f t="shared" si="7"/>
        <v>0</v>
      </c>
      <c r="H59" s="136">
        <f t="shared" ca="1" si="14"/>
        <v>0</v>
      </c>
      <c r="I59" s="137"/>
      <c r="J59" s="62" t="str">
        <f t="shared" si="15"/>
        <v/>
      </c>
      <c r="K59" s="62" t="str">
        <f t="shared" si="8"/>
        <v/>
      </c>
      <c r="L59" s="135"/>
      <c r="M59" s="135"/>
      <c r="N59" s="135"/>
      <c r="O59" s="138">
        <f t="shared" si="11"/>
        <v>0</v>
      </c>
      <c r="P59" s="139" t="str">
        <f t="shared" ca="1" si="16"/>
        <v/>
      </c>
      <c r="Q59" s="140"/>
      <c r="R59" s="140"/>
      <c r="S59" s="38"/>
      <c r="T59" s="20">
        <f t="shared" si="9"/>
        <v>0</v>
      </c>
      <c r="U59" s="10">
        <f t="shared" si="17"/>
        <v>0</v>
      </c>
      <c r="V59" s="141"/>
      <c r="W59" s="139" t="str">
        <f t="shared" si="5"/>
        <v/>
      </c>
      <c r="X59" s="138">
        <f t="shared" si="18"/>
        <v>0</v>
      </c>
      <c r="Y59" s="142">
        <f t="shared" si="10"/>
        <v>0</v>
      </c>
    </row>
    <row r="60" spans="2:25">
      <c r="B60" s="37"/>
      <c r="C60" s="134"/>
      <c r="D60" s="134"/>
      <c r="E60" s="135"/>
      <c r="F60" s="134"/>
      <c r="G60" s="136">
        <f t="shared" si="7"/>
        <v>0</v>
      </c>
      <c r="H60" s="136">
        <f t="shared" ca="1" si="14"/>
        <v>0</v>
      </c>
      <c r="I60" s="137"/>
      <c r="J60" s="62" t="str">
        <f t="shared" si="15"/>
        <v/>
      </c>
      <c r="K60" s="62" t="str">
        <f t="shared" si="8"/>
        <v/>
      </c>
      <c r="L60" s="135"/>
      <c r="M60" s="135"/>
      <c r="N60" s="135"/>
      <c r="O60" s="138">
        <f t="shared" si="11"/>
        <v>0</v>
      </c>
      <c r="P60" s="139" t="str">
        <f t="shared" ca="1" si="16"/>
        <v/>
      </c>
      <c r="Q60" s="140"/>
      <c r="R60" s="140"/>
      <c r="S60" s="38"/>
      <c r="T60" s="20">
        <f t="shared" si="9"/>
        <v>0</v>
      </c>
      <c r="U60" s="10">
        <f t="shared" si="17"/>
        <v>0</v>
      </c>
      <c r="V60" s="141"/>
      <c r="W60" s="139" t="str">
        <f t="shared" si="5"/>
        <v/>
      </c>
      <c r="X60" s="138">
        <f t="shared" si="18"/>
        <v>0</v>
      </c>
      <c r="Y60" s="142">
        <f t="shared" si="10"/>
        <v>0</v>
      </c>
    </row>
    <row r="61" spans="2:25">
      <c r="B61" s="37"/>
      <c r="C61" s="134"/>
      <c r="D61" s="134"/>
      <c r="E61" s="135"/>
      <c r="F61" s="134"/>
      <c r="G61" s="136">
        <f t="shared" si="7"/>
        <v>0</v>
      </c>
      <c r="H61" s="136">
        <f t="shared" ca="1" si="14"/>
        <v>0</v>
      </c>
      <c r="I61" s="137"/>
      <c r="J61" s="62" t="str">
        <f t="shared" si="15"/>
        <v/>
      </c>
      <c r="K61" s="62" t="str">
        <f t="shared" si="8"/>
        <v/>
      </c>
      <c r="L61" s="135"/>
      <c r="M61" s="135"/>
      <c r="N61" s="135"/>
      <c r="O61" s="138">
        <f t="shared" si="11"/>
        <v>0</v>
      </c>
      <c r="P61" s="139" t="str">
        <f t="shared" ca="1" si="16"/>
        <v/>
      </c>
      <c r="Q61" s="140"/>
      <c r="R61" s="140"/>
      <c r="S61" s="38"/>
      <c r="T61" s="20">
        <f t="shared" si="9"/>
        <v>0</v>
      </c>
      <c r="U61" s="10">
        <f t="shared" si="17"/>
        <v>0</v>
      </c>
      <c r="V61" s="141"/>
      <c r="W61" s="139" t="str">
        <f t="shared" si="5"/>
        <v/>
      </c>
      <c r="X61" s="138">
        <f t="shared" si="18"/>
        <v>0</v>
      </c>
      <c r="Y61" s="142">
        <f t="shared" si="10"/>
        <v>0</v>
      </c>
    </row>
    <row r="62" spans="2:25">
      <c r="B62" s="37"/>
      <c r="C62" s="134"/>
      <c r="D62" s="134"/>
      <c r="E62" s="135"/>
      <c r="F62" s="134"/>
      <c r="G62" s="136">
        <f t="shared" si="7"/>
        <v>0</v>
      </c>
      <c r="H62" s="136">
        <f t="shared" ca="1" si="14"/>
        <v>0</v>
      </c>
      <c r="I62" s="137"/>
      <c r="J62" s="62" t="str">
        <f t="shared" si="15"/>
        <v/>
      </c>
      <c r="K62" s="62" t="str">
        <f t="shared" si="8"/>
        <v/>
      </c>
      <c r="L62" s="135"/>
      <c r="M62" s="135"/>
      <c r="N62" s="135"/>
      <c r="O62" s="138">
        <f t="shared" si="11"/>
        <v>0</v>
      </c>
      <c r="P62" s="139" t="str">
        <f t="shared" ca="1" si="16"/>
        <v/>
      </c>
      <c r="Q62" s="140"/>
      <c r="R62" s="140"/>
      <c r="S62" s="38"/>
      <c r="T62" s="20">
        <f t="shared" si="9"/>
        <v>0</v>
      </c>
      <c r="U62" s="10">
        <f t="shared" si="17"/>
        <v>0</v>
      </c>
      <c r="V62" s="141"/>
      <c r="W62" s="139" t="str">
        <f t="shared" si="5"/>
        <v/>
      </c>
      <c r="X62" s="138">
        <f t="shared" si="18"/>
        <v>0</v>
      </c>
      <c r="Y62" s="142">
        <f t="shared" si="10"/>
        <v>0</v>
      </c>
    </row>
    <row r="63" spans="2:25">
      <c r="B63" s="37"/>
      <c r="C63" s="134"/>
      <c r="D63" s="134"/>
      <c r="E63" s="135"/>
      <c r="F63" s="134"/>
      <c r="G63" s="136">
        <f t="shared" si="7"/>
        <v>0</v>
      </c>
      <c r="H63" s="136">
        <f t="shared" ca="1" si="14"/>
        <v>0</v>
      </c>
      <c r="I63" s="137"/>
      <c r="J63" s="62" t="str">
        <f t="shared" si="15"/>
        <v/>
      </c>
      <c r="K63" s="62" t="str">
        <f t="shared" si="8"/>
        <v/>
      </c>
      <c r="L63" s="135"/>
      <c r="M63" s="135"/>
      <c r="N63" s="135"/>
      <c r="O63" s="138">
        <f t="shared" si="11"/>
        <v>0</v>
      </c>
      <c r="P63" s="139" t="str">
        <f t="shared" ca="1" si="16"/>
        <v/>
      </c>
      <c r="Q63" s="140"/>
      <c r="R63" s="140"/>
      <c r="S63" s="38"/>
      <c r="T63" s="20">
        <f t="shared" si="9"/>
        <v>0</v>
      </c>
      <c r="U63" s="10">
        <f t="shared" si="17"/>
        <v>0</v>
      </c>
      <c r="V63" s="141"/>
      <c r="W63" s="139" t="str">
        <f t="shared" si="5"/>
        <v/>
      </c>
      <c r="X63" s="138">
        <f t="shared" si="18"/>
        <v>0</v>
      </c>
      <c r="Y63" s="142">
        <f t="shared" si="10"/>
        <v>0</v>
      </c>
    </row>
    <row r="64" spans="2:25">
      <c r="B64" s="37"/>
      <c r="C64" s="134"/>
      <c r="D64" s="134"/>
      <c r="E64" s="135"/>
      <c r="F64" s="134"/>
      <c r="G64" s="136">
        <f t="shared" si="7"/>
        <v>0</v>
      </c>
      <c r="H64" s="136">
        <f t="shared" ca="1" si="14"/>
        <v>0</v>
      </c>
      <c r="I64" s="137"/>
      <c r="J64" s="62" t="str">
        <f t="shared" si="15"/>
        <v/>
      </c>
      <c r="K64" s="62" t="str">
        <f t="shared" si="8"/>
        <v/>
      </c>
      <c r="L64" s="135"/>
      <c r="M64" s="135"/>
      <c r="N64" s="135"/>
      <c r="O64" s="138">
        <f t="shared" si="11"/>
        <v>0</v>
      </c>
      <c r="P64" s="139" t="str">
        <f t="shared" ca="1" si="16"/>
        <v/>
      </c>
      <c r="Q64" s="140"/>
      <c r="R64" s="140"/>
      <c r="S64" s="38"/>
      <c r="T64" s="20">
        <f t="shared" si="9"/>
        <v>0</v>
      </c>
      <c r="U64" s="10">
        <f t="shared" si="17"/>
        <v>0</v>
      </c>
      <c r="V64" s="141"/>
      <c r="W64" s="139" t="str">
        <f t="shared" si="5"/>
        <v/>
      </c>
      <c r="X64" s="138">
        <f t="shared" si="18"/>
        <v>0</v>
      </c>
      <c r="Y64" s="142">
        <f t="shared" si="10"/>
        <v>0</v>
      </c>
    </row>
    <row r="65" spans="2:25">
      <c r="B65" s="37"/>
      <c r="C65" s="134"/>
      <c r="D65" s="134"/>
      <c r="E65" s="135"/>
      <c r="F65" s="134"/>
      <c r="G65" s="136">
        <f t="shared" si="7"/>
        <v>0</v>
      </c>
      <c r="H65" s="136">
        <f t="shared" ca="1" si="14"/>
        <v>0</v>
      </c>
      <c r="I65" s="137"/>
      <c r="J65" s="62" t="str">
        <f t="shared" si="15"/>
        <v/>
      </c>
      <c r="K65" s="62" t="str">
        <f t="shared" si="8"/>
        <v/>
      </c>
      <c r="L65" s="135"/>
      <c r="M65" s="135"/>
      <c r="N65" s="135"/>
      <c r="O65" s="138">
        <f t="shared" si="11"/>
        <v>0</v>
      </c>
      <c r="P65" s="139" t="str">
        <f t="shared" ca="1" si="16"/>
        <v/>
      </c>
      <c r="Q65" s="140"/>
      <c r="R65" s="140"/>
      <c r="S65" s="38"/>
      <c r="T65" s="20">
        <f t="shared" si="9"/>
        <v>0</v>
      </c>
      <c r="U65" s="10">
        <f t="shared" si="17"/>
        <v>0</v>
      </c>
      <c r="V65" s="141"/>
      <c r="W65" s="139" t="str">
        <f t="shared" si="5"/>
        <v/>
      </c>
      <c r="X65" s="138">
        <f t="shared" si="18"/>
        <v>0</v>
      </c>
      <c r="Y65" s="142">
        <f t="shared" si="10"/>
        <v>0</v>
      </c>
    </row>
    <row r="66" spans="2:25">
      <c r="B66" s="37"/>
      <c r="C66" s="134"/>
      <c r="D66" s="134"/>
      <c r="E66" s="135"/>
      <c r="F66" s="134"/>
      <c r="G66" s="136">
        <f t="shared" si="7"/>
        <v>0</v>
      </c>
      <c r="H66" s="136">
        <f t="shared" ca="1" si="14"/>
        <v>0</v>
      </c>
      <c r="I66" s="137"/>
      <c r="J66" s="62" t="str">
        <f t="shared" si="15"/>
        <v/>
      </c>
      <c r="K66" s="62" t="str">
        <f t="shared" si="8"/>
        <v/>
      </c>
      <c r="L66" s="135"/>
      <c r="M66" s="135"/>
      <c r="N66" s="135"/>
      <c r="O66" s="138">
        <f t="shared" si="11"/>
        <v>0</v>
      </c>
      <c r="P66" s="139" t="str">
        <f t="shared" ca="1" si="16"/>
        <v/>
      </c>
      <c r="Q66" s="140"/>
      <c r="R66" s="140"/>
      <c r="S66" s="38"/>
      <c r="T66" s="20">
        <f t="shared" si="9"/>
        <v>0</v>
      </c>
      <c r="U66" s="10">
        <f t="shared" si="17"/>
        <v>0</v>
      </c>
      <c r="V66" s="141"/>
      <c r="W66" s="139" t="str">
        <f t="shared" si="5"/>
        <v/>
      </c>
      <c r="X66" s="138">
        <f t="shared" si="18"/>
        <v>0</v>
      </c>
      <c r="Y66" s="142">
        <f t="shared" si="10"/>
        <v>0</v>
      </c>
    </row>
    <row r="67" spans="2:25">
      <c r="B67" s="37"/>
      <c r="C67" s="134"/>
      <c r="D67" s="134"/>
      <c r="E67" s="135"/>
      <c r="F67" s="134"/>
      <c r="G67" s="136">
        <f t="shared" si="7"/>
        <v>0</v>
      </c>
      <c r="H67" s="136">
        <f t="shared" ca="1" si="14"/>
        <v>0</v>
      </c>
      <c r="I67" s="137"/>
      <c r="J67" s="62" t="str">
        <f t="shared" si="15"/>
        <v/>
      </c>
      <c r="K67" s="62" t="str">
        <f t="shared" si="8"/>
        <v/>
      </c>
      <c r="L67" s="135"/>
      <c r="M67" s="135"/>
      <c r="N67" s="135"/>
      <c r="O67" s="138">
        <f t="shared" si="11"/>
        <v>0</v>
      </c>
      <c r="P67" s="139" t="str">
        <f t="shared" ca="1" si="16"/>
        <v/>
      </c>
      <c r="Q67" s="140"/>
      <c r="R67" s="140"/>
      <c r="S67" s="38"/>
      <c r="T67" s="20">
        <f t="shared" si="9"/>
        <v>0</v>
      </c>
      <c r="U67" s="10">
        <f t="shared" si="17"/>
        <v>0</v>
      </c>
      <c r="V67" s="141"/>
      <c r="W67" s="139" t="str">
        <f t="shared" si="5"/>
        <v/>
      </c>
      <c r="X67" s="138">
        <f t="shared" si="18"/>
        <v>0</v>
      </c>
      <c r="Y67" s="142">
        <f t="shared" si="10"/>
        <v>0</v>
      </c>
    </row>
    <row r="68" spans="2:25">
      <c r="B68" s="37"/>
      <c r="C68" s="134"/>
      <c r="D68" s="134"/>
      <c r="E68" s="135"/>
      <c r="F68" s="134"/>
      <c r="G68" s="136">
        <f t="shared" si="7"/>
        <v>0</v>
      </c>
      <c r="H68" s="136">
        <f t="shared" ca="1" si="14"/>
        <v>0</v>
      </c>
      <c r="I68" s="137"/>
      <c r="J68" s="62" t="str">
        <f t="shared" si="15"/>
        <v/>
      </c>
      <c r="K68" s="62" t="str">
        <f t="shared" si="8"/>
        <v/>
      </c>
      <c r="L68" s="135"/>
      <c r="M68" s="135"/>
      <c r="N68" s="135"/>
      <c r="O68" s="138">
        <f t="shared" si="11"/>
        <v>0</v>
      </c>
      <c r="P68" s="139" t="str">
        <f t="shared" ca="1" si="16"/>
        <v/>
      </c>
      <c r="Q68" s="140"/>
      <c r="R68" s="140"/>
      <c r="S68" s="38"/>
      <c r="T68" s="20">
        <f t="shared" si="9"/>
        <v>0</v>
      </c>
      <c r="U68" s="10">
        <f t="shared" si="17"/>
        <v>0</v>
      </c>
      <c r="V68" s="141"/>
      <c r="W68" s="139" t="str">
        <f t="shared" si="5"/>
        <v/>
      </c>
      <c r="X68" s="138">
        <f t="shared" si="18"/>
        <v>0</v>
      </c>
      <c r="Y68" s="142">
        <f t="shared" si="10"/>
        <v>0</v>
      </c>
    </row>
    <row r="69" spans="2:25">
      <c r="B69" s="37"/>
      <c r="C69" s="134"/>
      <c r="D69" s="134"/>
      <c r="E69" s="135"/>
      <c r="F69" s="134"/>
      <c r="G69" s="136">
        <f t="shared" si="7"/>
        <v>0</v>
      </c>
      <c r="H69" s="136">
        <f t="shared" ca="1" si="14"/>
        <v>0</v>
      </c>
      <c r="I69" s="137"/>
      <c r="J69" s="62" t="str">
        <f t="shared" si="15"/>
        <v/>
      </c>
      <c r="K69" s="62" t="str">
        <f t="shared" si="8"/>
        <v/>
      </c>
      <c r="L69" s="135"/>
      <c r="M69" s="135"/>
      <c r="N69" s="135"/>
      <c r="O69" s="138">
        <f t="shared" si="11"/>
        <v>0</v>
      </c>
      <c r="P69" s="139" t="str">
        <f t="shared" ca="1" si="16"/>
        <v/>
      </c>
      <c r="Q69" s="140"/>
      <c r="R69" s="140"/>
      <c r="S69" s="38"/>
      <c r="T69" s="20">
        <f t="shared" si="9"/>
        <v>0</v>
      </c>
      <c r="U69" s="10">
        <f t="shared" si="17"/>
        <v>0</v>
      </c>
      <c r="V69" s="141"/>
      <c r="W69" s="139" t="str">
        <f t="shared" si="5"/>
        <v/>
      </c>
      <c r="X69" s="138">
        <f t="shared" si="18"/>
        <v>0</v>
      </c>
      <c r="Y69" s="142">
        <f>V69-X69</f>
        <v>0</v>
      </c>
    </row>
    <row r="70" spans="2:25" ht="20" thickBot="1">
      <c r="B70" s="39"/>
      <c r="C70" s="40"/>
      <c r="D70" s="40"/>
      <c r="E70" s="143"/>
      <c r="F70" s="40"/>
      <c r="G70" s="144">
        <f t="shared" si="7"/>
        <v>0</v>
      </c>
      <c r="H70" s="144">
        <f t="shared" ca="1" si="14"/>
        <v>0</v>
      </c>
      <c r="I70" s="41"/>
      <c r="J70" s="63" t="str">
        <f t="shared" si="15"/>
        <v/>
      </c>
      <c r="K70" s="63" t="str">
        <f t="shared" si="8"/>
        <v/>
      </c>
      <c r="L70" s="143"/>
      <c r="M70" s="143"/>
      <c r="N70" s="143"/>
      <c r="O70" s="145">
        <f t="shared" si="11"/>
        <v>0</v>
      </c>
      <c r="P70" s="69" t="str">
        <f t="shared" ca="1" si="16"/>
        <v/>
      </c>
      <c r="Q70" s="42"/>
      <c r="R70" s="42"/>
      <c r="S70" s="43"/>
      <c r="T70" s="21">
        <f t="shared" si="9"/>
        <v>0</v>
      </c>
      <c r="U70" s="22">
        <f t="shared" si="17"/>
        <v>0</v>
      </c>
      <c r="V70" s="146"/>
      <c r="W70" s="69" t="str">
        <f t="shared" si="5"/>
        <v/>
      </c>
      <c r="X70" s="145">
        <f t="shared" si="18"/>
        <v>0</v>
      </c>
      <c r="Y70" s="147">
        <f t="shared" ref="Y70" si="19">V70-X70</f>
        <v>0</v>
      </c>
    </row>
  </sheetData>
  <autoFilter ref="C11:X64" xr:uid="{E7F87C3F-4742-4640-ADCB-17FA1BC4015E}"/>
  <mergeCells count="2">
    <mergeCell ref="T10:U10"/>
    <mergeCell ref="V10:Y10"/>
  </mergeCells>
  <dataValidations count="2">
    <dataValidation type="list" allowBlank="1" showInputMessage="1" showErrorMessage="1" sqref="C13:C70" xr:uid="{9F7E9A20-C149-1544-A576-CE4702F2B024}">
      <formula1>L_PAPIER</formula1>
    </dataValidation>
    <dataValidation type="list" allowBlank="1" showInputMessage="1" showErrorMessage="1" sqref="Q13:Q70" xr:uid="{A9E63965-7FB1-1748-9AC2-26C17E557DB5}">
      <formula1>L_JANEIN</formula1>
    </dataValidation>
  </dataValidations>
  <pageMargins left="0.70866141732283472" right="0.70866141732283472" top="0.78740157480314965" bottom="0.78740157480314965" header="0.31496062992125984" footer="0.31496062992125984"/>
  <pageSetup paperSize="9" scale="36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FF17-4A86-3B49-A9E4-94D2AFB3F125}">
  <sheetPr>
    <tabColor theme="0"/>
    <pageSetUpPr fitToPage="1"/>
  </sheetPr>
  <dimension ref="B2:R48"/>
  <sheetViews>
    <sheetView workbookViewId="0">
      <selection activeCell="U25" sqref="U25"/>
    </sheetView>
  </sheetViews>
  <sheetFormatPr baseColWidth="10" defaultRowHeight="16"/>
  <cols>
    <col min="1" max="1" width="2.83203125" style="84" customWidth="1"/>
    <col min="2" max="2" width="2.5" style="84" customWidth="1"/>
    <col min="3" max="17" width="10.83203125" style="84"/>
    <col min="18" max="18" width="2.5" style="84" customWidth="1"/>
    <col min="19" max="16384" width="10.83203125" style="84"/>
  </cols>
  <sheetData>
    <row r="2" spans="2:18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18" ht="31">
      <c r="B3" s="86"/>
      <c r="C3" s="87" t="s">
        <v>40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2:18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2:18"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2:18" ht="24">
      <c r="B6" s="86"/>
      <c r="C6" s="111" t="s">
        <v>41</v>
      </c>
      <c r="D6" s="112"/>
      <c r="E6" s="112"/>
      <c r="F6" s="112"/>
      <c r="G6" s="112"/>
      <c r="H6" s="112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2:18" ht="7" customHeight="1">
      <c r="B7" s="86"/>
      <c r="C7" s="88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2:18" ht="21">
      <c r="B8" s="86"/>
      <c r="C8" s="88" t="s">
        <v>49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2:18" ht="21">
      <c r="B9" s="86"/>
      <c r="C9" s="88" t="s">
        <v>46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2:18" ht="7" customHeight="1">
      <c r="B10" s="86"/>
      <c r="C10" s="88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2:18" ht="21">
      <c r="B11" s="86"/>
      <c r="C11" s="88" t="s">
        <v>47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2:18" ht="21">
      <c r="B12" s="86"/>
      <c r="C12" s="88" t="s">
        <v>48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ht="21">
      <c r="B13" s="86"/>
      <c r="C13" s="88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2:18" ht="24">
      <c r="B14" s="86"/>
      <c r="C14" s="111" t="s">
        <v>42</v>
      </c>
      <c r="D14" s="112"/>
      <c r="E14" s="112"/>
      <c r="F14" s="112"/>
      <c r="G14" s="112"/>
      <c r="H14" s="112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2:18" ht="7" customHeight="1">
      <c r="B15" s="86"/>
      <c r="C15" s="88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2:18" ht="21">
      <c r="B16" s="86"/>
      <c r="C16" s="88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2:18" ht="21">
      <c r="B17" s="86"/>
      <c r="C17" s="88" t="s">
        <v>130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2:18" ht="21">
      <c r="B18" s="86"/>
      <c r="C18" s="88" t="s">
        <v>129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2:18" ht="7" customHeight="1">
      <c r="B19" s="86"/>
      <c r="C19" s="88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2:18" ht="21">
      <c r="B20" s="86"/>
      <c r="C20" s="88" t="s">
        <v>51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2:18" ht="21">
      <c r="B21" s="86"/>
      <c r="C21" s="88" t="s">
        <v>52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2:18" ht="21">
      <c r="B22" s="86"/>
      <c r="C22" s="88" t="s">
        <v>53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2:18" ht="7" customHeight="1">
      <c r="B23" s="86"/>
      <c r="C23" s="88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2:18" ht="21">
      <c r="B24" s="86"/>
      <c r="C24" s="88" t="s">
        <v>122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2:18" ht="21">
      <c r="B25" s="86"/>
      <c r="C25" s="88" t="s">
        <v>123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2:18" ht="21">
      <c r="B26" s="86"/>
      <c r="C26" s="88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2:18" ht="24">
      <c r="B27" s="86"/>
      <c r="C27" s="111" t="s">
        <v>43</v>
      </c>
      <c r="D27" s="112"/>
      <c r="E27" s="112"/>
      <c r="F27" s="112"/>
      <c r="G27" s="112"/>
      <c r="H27" s="112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2:18" ht="7" customHeight="1">
      <c r="B28" s="86"/>
      <c r="C28" s="88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2:18" ht="21">
      <c r="B29" s="86"/>
      <c r="C29" s="88" t="s">
        <v>131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2:18" ht="21">
      <c r="B30" s="86"/>
      <c r="C30" s="88" t="s">
        <v>132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2:18" ht="7" customHeight="1">
      <c r="B31" s="86"/>
      <c r="C31" s="88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2:18" ht="21">
      <c r="B32" s="86"/>
      <c r="C32" s="88" t="s">
        <v>133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2:18" ht="21">
      <c r="B33" s="86"/>
      <c r="C33" s="88" t="s">
        <v>134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2:18" ht="21">
      <c r="B34" s="86"/>
      <c r="C34" s="88" t="s">
        <v>135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2:18" ht="21">
      <c r="B35" s="86"/>
      <c r="C35" s="88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2:18" ht="24">
      <c r="B36" s="86"/>
      <c r="C36" s="111" t="s">
        <v>44</v>
      </c>
      <c r="D36" s="112"/>
      <c r="E36" s="112"/>
      <c r="F36" s="112"/>
      <c r="G36" s="112"/>
      <c r="H36" s="112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2:18" ht="7" customHeight="1">
      <c r="B37" s="86"/>
      <c r="C37" s="88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2:18" ht="21">
      <c r="B38" s="86"/>
      <c r="C38" s="88" t="s">
        <v>136</v>
      </c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2:18" ht="21">
      <c r="B39" s="86"/>
      <c r="C39" s="88" t="s">
        <v>139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2:18" ht="7" customHeight="1">
      <c r="B40" s="86"/>
      <c r="C40" s="88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  <row r="41" spans="2:18" ht="21">
      <c r="B41" s="86"/>
      <c r="C41" s="88" t="s">
        <v>137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  <row r="42" spans="2:18" ht="21">
      <c r="B42" s="86"/>
      <c r="C42" s="88" t="s">
        <v>138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2:18" ht="21">
      <c r="B43" s="86"/>
      <c r="C43" s="88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2:18" ht="21">
      <c r="B44" s="86"/>
      <c r="C44" s="89" t="s">
        <v>121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6"/>
      <c r="Q44" s="86"/>
      <c r="R44" s="86"/>
    </row>
    <row r="45" spans="2:18" ht="22" thickBot="1">
      <c r="B45" s="86"/>
      <c r="C45" s="119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86"/>
    </row>
    <row r="46" spans="2:18" ht="20" thickTop="1">
      <c r="B46" s="86"/>
      <c r="C46" s="157" t="s">
        <v>102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86"/>
    </row>
    <row r="47" spans="2:18" ht="19">
      <c r="B47" s="86"/>
      <c r="C47" s="150" t="s">
        <v>103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86"/>
    </row>
    <row r="48" spans="2:18" ht="7" customHeight="1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</sheetData>
  <sheetProtection algorithmName="SHA-512" hashValue="A1hy1BexGBBDW6T5oYnp7BJe7yqrUe0ZSQy6dMJB+G378l9QlinvvBfwGXes1qbs6r7YukkMHXBmLmX0OIcQ6w==" saltValue="t8SxB6/UaRzBvpTsLZ371Q==" spinCount="100000" sheet="1" objects="1" scenarios="1"/>
  <mergeCells count="2">
    <mergeCell ref="C46:Q46"/>
    <mergeCell ref="C47:Q47"/>
  </mergeCells>
  <pageMargins left="0.70866141732283472" right="0.70866141732283472" top="0.78740157480314965" bottom="0.78740157480314965" header="0.31496062992125984" footer="0.31496062992125984"/>
  <pageSetup paperSize="9" scale="4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22DD-28A4-9549-9146-CE3F1A66860C}">
  <sheetPr>
    <tabColor rgb="FF0070C0"/>
    <pageSetUpPr fitToPage="1"/>
  </sheetPr>
  <dimension ref="A1:G9"/>
  <sheetViews>
    <sheetView showGridLines="0" workbookViewId="0">
      <selection activeCell="G22" sqref="G22"/>
    </sheetView>
  </sheetViews>
  <sheetFormatPr baseColWidth="10" defaultRowHeight="16"/>
  <cols>
    <col min="1" max="1" width="21" bestFit="1" customWidth="1"/>
    <col min="2" max="4" width="14.1640625" customWidth="1"/>
    <col min="5" max="5" width="10.5" customWidth="1"/>
    <col min="6" max="6" width="24.5" customWidth="1"/>
    <col min="7" max="7" width="14.33203125" customWidth="1"/>
  </cols>
  <sheetData>
    <row r="1" spans="1:7" ht="21">
      <c r="A1" s="74" t="str">
        <f>"Aktueller Kapitaleinsatz - Aktien &amp; Offene Puts ("&amp;'CFMO- Trading Log'!$I$4&amp;")"</f>
        <v>Aktueller Kapitaleinsatz - Aktien &amp; Offene Puts (USD)</v>
      </c>
    </row>
    <row r="2" spans="1:7" ht="21">
      <c r="A2" s="74"/>
    </row>
    <row r="3" spans="1:7">
      <c r="A3" s="71" t="s">
        <v>2</v>
      </c>
      <c r="B3" t="s">
        <v>11</v>
      </c>
    </row>
    <row r="5" spans="1:7">
      <c r="A5" s="71" t="s">
        <v>158</v>
      </c>
      <c r="B5" s="71" t="s">
        <v>33</v>
      </c>
    </row>
    <row r="6" spans="1:7">
      <c r="A6" s="71" t="s">
        <v>31</v>
      </c>
      <c r="B6" s="73" t="s">
        <v>3</v>
      </c>
      <c r="C6" s="73" t="s">
        <v>32</v>
      </c>
      <c r="F6" s="118" t="s">
        <v>127</v>
      </c>
      <c r="G6" s="117"/>
    </row>
    <row r="7" spans="1:7">
      <c r="A7" s="72" t="s">
        <v>8</v>
      </c>
      <c r="B7" s="82">
        <v>6800</v>
      </c>
      <c r="C7" s="82">
        <v>6800</v>
      </c>
      <c r="F7" t="s">
        <v>86</v>
      </c>
      <c r="G7" s="82">
        <f>'CFMO- Trading Log'!$I$7</f>
        <v>60000</v>
      </c>
    </row>
    <row r="8" spans="1:7">
      <c r="A8" s="72" t="s">
        <v>142</v>
      </c>
      <c r="B8" s="82">
        <v>4100</v>
      </c>
      <c r="C8" s="82">
        <v>4100</v>
      </c>
      <c r="F8" s="113" t="s">
        <v>124</v>
      </c>
      <c r="G8" s="114">
        <f>GETPIVOTDATA("Eingesetztes Kapital",$A$5)</f>
        <v>10900</v>
      </c>
    </row>
    <row r="9" spans="1:7">
      <c r="A9" s="72" t="s">
        <v>32</v>
      </c>
      <c r="B9" s="82">
        <v>10900</v>
      </c>
      <c r="C9" s="82">
        <v>10900</v>
      </c>
      <c r="F9" s="115" t="s">
        <v>125</v>
      </c>
      <c r="G9" s="116">
        <f>G7-G8</f>
        <v>49100</v>
      </c>
    </row>
  </sheetData>
  <pageMargins left="0.70866141732283472" right="0.70866141732283472" top="0.78740157480314965" bottom="0.78740157480314965" header="0.31496062992125984" footer="0.31496062992125984"/>
  <pageSetup paperSize="9" scale="83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A521-251F-B744-9687-A9F06E46BA6C}">
  <sheetPr>
    <tabColor rgb="FF0070C0"/>
    <pageSetUpPr fitToPage="1"/>
  </sheetPr>
  <dimension ref="A1:K20"/>
  <sheetViews>
    <sheetView showGridLines="0" workbookViewId="0">
      <selection activeCell="D13" sqref="D13"/>
    </sheetView>
  </sheetViews>
  <sheetFormatPr baseColWidth="10" defaultRowHeight="16"/>
  <cols>
    <col min="1" max="1" width="21" bestFit="1" customWidth="1"/>
    <col min="2" max="5" width="14.1640625" customWidth="1"/>
    <col min="6" max="6" width="30.1640625" customWidth="1"/>
    <col min="7" max="7" width="21.6640625" customWidth="1"/>
    <col min="8" max="11" width="14.1640625" customWidth="1"/>
    <col min="12" max="12" width="9.33203125" customWidth="1"/>
  </cols>
  <sheetData>
    <row r="1" spans="1:11" ht="21">
      <c r="A1" s="74" t="str">
        <f>"Gewinne/Verluste aus abgeschlossenen Trades ("&amp;'CFMO- Trading Log'!$I$4&amp;", vor Steuer)"</f>
        <v>Gewinne/Verluste aus abgeschlossenen Trades (USD, vor Steuer)</v>
      </c>
      <c r="G1" s="74" t="str">
        <f>"Gewinne/Verluste aus abgeschlossenen Trades ("&amp;'CFMO- Trading Log'!$I$5&amp;", nach Steuer)"</f>
        <v>Gewinne/Verluste aus abgeschlossenen Trades (EUR, nach Steuer)</v>
      </c>
    </row>
    <row r="2" spans="1:11" ht="21">
      <c r="A2" s="74"/>
      <c r="G2" s="74"/>
    </row>
    <row r="3" spans="1:11">
      <c r="A3" s="71" t="s">
        <v>2</v>
      </c>
      <c r="B3" t="s">
        <v>7</v>
      </c>
      <c r="G3" s="71" t="s">
        <v>2</v>
      </c>
      <c r="H3" t="s">
        <v>7</v>
      </c>
    </row>
    <row r="4" spans="1:11">
      <c r="A4" s="71" t="s">
        <v>37</v>
      </c>
      <c r="B4" t="s">
        <v>30</v>
      </c>
      <c r="G4" s="71" t="s">
        <v>37</v>
      </c>
      <c r="H4" t="s">
        <v>30</v>
      </c>
    </row>
    <row r="6" spans="1:11">
      <c r="A6" s="71" t="s">
        <v>34</v>
      </c>
      <c r="B6" s="71" t="s">
        <v>33</v>
      </c>
      <c r="H6" s="71" t="s">
        <v>33</v>
      </c>
    </row>
    <row r="7" spans="1:11">
      <c r="A7" s="71" t="s">
        <v>31</v>
      </c>
      <c r="B7" s="73" t="s">
        <v>3</v>
      </c>
      <c r="C7" s="73" t="s">
        <v>13</v>
      </c>
      <c r="D7" s="73" t="s">
        <v>12</v>
      </c>
      <c r="E7" s="73" t="s">
        <v>32</v>
      </c>
      <c r="G7" s="71" t="s">
        <v>31</v>
      </c>
      <c r="H7" s="73" t="s">
        <v>3</v>
      </c>
      <c r="I7" s="73" t="s">
        <v>13</v>
      </c>
      <c r="J7" s="73" t="s">
        <v>12</v>
      </c>
      <c r="K7" s="73" t="s">
        <v>32</v>
      </c>
    </row>
    <row r="8" spans="1:11">
      <c r="A8" s="72" t="s">
        <v>143</v>
      </c>
      <c r="B8" s="75">
        <v>100</v>
      </c>
      <c r="C8" s="75">
        <v>29</v>
      </c>
      <c r="D8" s="75">
        <v>29</v>
      </c>
      <c r="E8" s="75">
        <v>158</v>
      </c>
      <c r="G8" s="72" t="s">
        <v>9</v>
      </c>
      <c r="H8" s="75"/>
      <c r="I8" s="75"/>
      <c r="J8" s="75"/>
      <c r="K8" s="75"/>
    </row>
    <row r="9" spans="1:11">
      <c r="A9" s="108" t="s">
        <v>107</v>
      </c>
      <c r="B9" s="75">
        <v>100</v>
      </c>
      <c r="C9" s="75">
        <v>29</v>
      </c>
      <c r="D9" s="75">
        <v>29</v>
      </c>
      <c r="E9" s="75">
        <v>158</v>
      </c>
      <c r="G9" s="108" t="s">
        <v>106</v>
      </c>
      <c r="H9" s="75"/>
      <c r="I9" s="75"/>
      <c r="J9" s="75"/>
      <c r="K9" s="75"/>
    </row>
    <row r="10" spans="1:11">
      <c r="A10" s="72" t="s">
        <v>8</v>
      </c>
      <c r="B10" s="75"/>
      <c r="C10" s="75">
        <v>59.5</v>
      </c>
      <c r="D10" s="75">
        <v>49.5</v>
      </c>
      <c r="E10" s="75">
        <v>109</v>
      </c>
      <c r="G10" s="72" t="s">
        <v>10</v>
      </c>
      <c r="H10" s="75"/>
      <c r="I10" s="75"/>
      <c r="J10" s="75"/>
      <c r="K10" s="75"/>
    </row>
    <row r="11" spans="1:11">
      <c r="A11" s="108" t="s">
        <v>108</v>
      </c>
      <c r="B11" s="75"/>
      <c r="C11" s="75">
        <v>59.5</v>
      </c>
      <c r="D11" s="75">
        <v>49.5</v>
      </c>
      <c r="E11" s="75">
        <v>109</v>
      </c>
      <c r="G11" s="108" t="s">
        <v>106</v>
      </c>
      <c r="H11" s="75"/>
      <c r="I11" s="75"/>
      <c r="J11" s="75"/>
      <c r="K11" s="75"/>
    </row>
    <row r="12" spans="1:11">
      <c r="A12" s="72" t="s">
        <v>142</v>
      </c>
      <c r="B12" s="75"/>
      <c r="C12" s="75"/>
      <c r="D12" s="75">
        <v>76.5</v>
      </c>
      <c r="E12" s="75">
        <v>76.5</v>
      </c>
      <c r="G12" s="72" t="s">
        <v>8</v>
      </c>
      <c r="H12" s="75"/>
      <c r="I12" s="75"/>
      <c r="J12" s="75"/>
      <c r="K12" s="75"/>
    </row>
    <row r="13" spans="1:11">
      <c r="A13" s="108" t="s">
        <v>144</v>
      </c>
      <c r="B13" s="75"/>
      <c r="C13" s="75"/>
      <c r="D13" s="75">
        <v>76.5</v>
      </c>
      <c r="E13" s="75">
        <v>76.5</v>
      </c>
      <c r="G13" s="108" t="s">
        <v>108</v>
      </c>
      <c r="H13" s="75"/>
      <c r="I13" s="75"/>
      <c r="J13" s="75"/>
      <c r="K13" s="75"/>
    </row>
    <row r="14" spans="1:11">
      <c r="A14" s="72" t="s">
        <v>9</v>
      </c>
      <c r="B14" s="75"/>
      <c r="C14" s="75"/>
      <c r="D14" s="75">
        <v>59.5</v>
      </c>
      <c r="E14" s="75">
        <v>59.5</v>
      </c>
      <c r="G14" s="72" t="s">
        <v>45</v>
      </c>
      <c r="H14" s="75"/>
      <c r="I14" s="75"/>
      <c r="J14" s="75"/>
      <c r="K14" s="75"/>
    </row>
    <row r="15" spans="1:11">
      <c r="A15" s="108" t="s">
        <v>106</v>
      </c>
      <c r="B15" s="75"/>
      <c r="C15" s="75"/>
      <c r="D15" s="75">
        <v>59.5</v>
      </c>
      <c r="E15" s="75">
        <v>59.5</v>
      </c>
      <c r="G15" s="108" t="s">
        <v>106</v>
      </c>
      <c r="H15" s="75"/>
      <c r="I15" s="75"/>
      <c r="J15" s="75"/>
      <c r="K15" s="75"/>
    </row>
    <row r="16" spans="1:11">
      <c r="A16" s="72" t="s">
        <v>45</v>
      </c>
      <c r="B16" s="75"/>
      <c r="C16" s="75"/>
      <c r="D16" s="75">
        <v>46.5</v>
      </c>
      <c r="E16" s="75">
        <v>46.5</v>
      </c>
      <c r="G16" s="72" t="s">
        <v>143</v>
      </c>
      <c r="H16" s="75"/>
      <c r="I16" s="75"/>
      <c r="J16" s="75"/>
      <c r="K16" s="75"/>
    </row>
    <row r="17" spans="1:11">
      <c r="A17" s="108" t="s">
        <v>106</v>
      </c>
      <c r="B17" s="75"/>
      <c r="C17" s="75"/>
      <c r="D17" s="75">
        <v>46.5</v>
      </c>
      <c r="E17" s="75">
        <v>46.5</v>
      </c>
      <c r="G17" s="108" t="s">
        <v>107</v>
      </c>
      <c r="H17" s="75"/>
      <c r="I17" s="75"/>
      <c r="J17" s="75"/>
      <c r="K17" s="75"/>
    </row>
    <row r="18" spans="1:11">
      <c r="A18" s="72" t="s">
        <v>10</v>
      </c>
      <c r="B18" s="75"/>
      <c r="C18" s="75"/>
      <c r="D18" s="75">
        <v>29.5</v>
      </c>
      <c r="E18" s="75">
        <v>29.5</v>
      </c>
      <c r="G18" s="72" t="s">
        <v>142</v>
      </c>
      <c r="H18" s="75"/>
      <c r="I18" s="75"/>
      <c r="J18" s="75"/>
      <c r="K18" s="75"/>
    </row>
    <row r="19" spans="1:11">
      <c r="A19" s="108" t="s">
        <v>106</v>
      </c>
      <c r="B19" s="75"/>
      <c r="C19" s="75"/>
      <c r="D19" s="75">
        <v>29.5</v>
      </c>
      <c r="E19" s="75">
        <v>29.5</v>
      </c>
      <c r="G19" s="108" t="s">
        <v>144</v>
      </c>
      <c r="H19" s="75"/>
      <c r="I19" s="75"/>
      <c r="J19" s="75"/>
      <c r="K19" s="75"/>
    </row>
    <row r="20" spans="1:11">
      <c r="A20" s="72" t="s">
        <v>32</v>
      </c>
      <c r="B20" s="75">
        <v>100</v>
      </c>
      <c r="C20" s="75">
        <v>88.5</v>
      </c>
      <c r="D20" s="75">
        <v>290.5</v>
      </c>
      <c r="E20" s="75">
        <v>479</v>
      </c>
      <c r="G20" s="72" t="s">
        <v>32</v>
      </c>
      <c r="H20" s="75"/>
      <c r="I20" s="75"/>
      <c r="J20" s="75"/>
      <c r="K20" s="75"/>
    </row>
  </sheetData>
  <pageMargins left="0.70866141732283472" right="0.70866141732283472" top="0.78740157480314965" bottom="0.78740157480314965" header="0.31496062992125984" footer="0.31496062992125984"/>
  <pageSetup paperSize="9" scale="7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53AD-862C-CF4F-828D-6BA96B6672AB}">
  <sheetPr>
    <tabColor rgb="FF0070C0"/>
    <pageSetUpPr fitToPage="1"/>
  </sheetPr>
  <dimension ref="A1:K10"/>
  <sheetViews>
    <sheetView showGridLines="0" workbookViewId="0">
      <selection activeCell="O37" sqref="O37"/>
    </sheetView>
  </sheetViews>
  <sheetFormatPr baseColWidth="10" defaultRowHeight="16"/>
  <cols>
    <col min="1" max="1" width="21" bestFit="1" customWidth="1"/>
    <col min="2" max="5" width="14.1640625" customWidth="1"/>
    <col min="6" max="6" width="28.83203125" customWidth="1"/>
    <col min="7" max="7" width="21" bestFit="1" customWidth="1"/>
    <col min="8" max="11" width="14.1640625" customWidth="1"/>
    <col min="12" max="12" width="9.33203125" customWidth="1"/>
  </cols>
  <sheetData>
    <row r="1" spans="1:11" ht="21">
      <c r="A1" s="74" t="str">
        <f>"Gewinne/Verluste aus abgeschlossenen Trades ("&amp;'CFMO- Trading Log'!$I$4&amp;", vor Steuer)"</f>
        <v>Gewinne/Verluste aus abgeschlossenen Trades (USD, vor Steuer)</v>
      </c>
      <c r="G1" s="74" t="str">
        <f>"Gewinne/Verluste aus abgeschlossenen Trades ("&amp;'CFMO- Trading Log'!$I$5&amp;", nach Steuer)"</f>
        <v>Gewinne/Verluste aus abgeschlossenen Trades (EUR, nach Steuer)</v>
      </c>
    </row>
    <row r="2" spans="1:11" ht="21">
      <c r="A2" s="74"/>
    </row>
    <row r="3" spans="1:11">
      <c r="A3" s="71" t="s">
        <v>2</v>
      </c>
      <c r="B3" t="s">
        <v>7</v>
      </c>
      <c r="G3" s="71" t="s">
        <v>2</v>
      </c>
      <c r="H3" t="s">
        <v>7</v>
      </c>
    </row>
    <row r="4" spans="1:11">
      <c r="A4" s="71" t="s">
        <v>16</v>
      </c>
      <c r="B4" t="s">
        <v>30</v>
      </c>
      <c r="G4" s="71" t="s">
        <v>16</v>
      </c>
      <c r="H4" t="s">
        <v>30</v>
      </c>
    </row>
    <row r="6" spans="1:11">
      <c r="A6" s="71" t="s">
        <v>34</v>
      </c>
      <c r="B6" s="71" t="s">
        <v>33</v>
      </c>
      <c r="H6" s="71" t="s">
        <v>33</v>
      </c>
    </row>
    <row r="7" spans="1:11">
      <c r="A7" s="71" t="s">
        <v>31</v>
      </c>
      <c r="B7" s="73" t="s">
        <v>3</v>
      </c>
      <c r="C7" s="73" t="s">
        <v>13</v>
      </c>
      <c r="D7" s="73" t="s">
        <v>12</v>
      </c>
      <c r="E7" s="73" t="s">
        <v>32</v>
      </c>
      <c r="G7" s="71" t="s">
        <v>31</v>
      </c>
      <c r="H7" s="73" t="s">
        <v>3</v>
      </c>
      <c r="I7" s="73" t="s">
        <v>13</v>
      </c>
      <c r="J7" s="73" t="s">
        <v>12</v>
      </c>
      <c r="K7" s="73" t="s">
        <v>32</v>
      </c>
    </row>
    <row r="8" spans="1:11">
      <c r="A8" s="72">
        <v>10</v>
      </c>
      <c r="B8" s="75">
        <v>100</v>
      </c>
      <c r="C8" s="75">
        <v>88.5</v>
      </c>
      <c r="D8" s="75">
        <v>244</v>
      </c>
      <c r="E8" s="75">
        <v>432.5</v>
      </c>
      <c r="G8" s="72">
        <v>10</v>
      </c>
      <c r="H8" s="75"/>
      <c r="I8" s="75"/>
      <c r="J8" s="75"/>
      <c r="K8" s="75"/>
    </row>
    <row r="9" spans="1:11">
      <c r="A9" s="72">
        <v>11</v>
      </c>
      <c r="B9" s="75"/>
      <c r="C9" s="75"/>
      <c r="D9" s="75">
        <v>46.5</v>
      </c>
      <c r="E9" s="75">
        <v>46.5</v>
      </c>
      <c r="G9" s="72">
        <v>11</v>
      </c>
      <c r="H9" s="75"/>
      <c r="I9" s="75"/>
      <c r="J9" s="75"/>
      <c r="K9" s="75"/>
    </row>
    <row r="10" spans="1:11">
      <c r="A10" s="72" t="s">
        <v>32</v>
      </c>
      <c r="B10" s="75">
        <v>100</v>
      </c>
      <c r="C10" s="75">
        <v>88.5</v>
      </c>
      <c r="D10" s="75">
        <v>290.5</v>
      </c>
      <c r="E10" s="75">
        <v>479</v>
      </c>
      <c r="G10" s="72" t="s">
        <v>32</v>
      </c>
      <c r="H10" s="75"/>
      <c r="I10" s="75"/>
      <c r="J10" s="75"/>
      <c r="K10" s="75"/>
    </row>
  </sheetData>
  <pageMargins left="0.70866141732283472" right="0.70866141732283472" top="0.78740157480314965" bottom="0.78740157480314965" header="0.31496062992125984" footer="0.31496062992125984"/>
  <pageSetup paperSize="9" scale="70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EEC28-FF1D-BE45-B90B-E321DE76947B}">
  <sheetPr>
    <tabColor rgb="FF0070C0"/>
    <pageSetUpPr fitToPage="1"/>
  </sheetPr>
  <dimension ref="A1:X16"/>
  <sheetViews>
    <sheetView showGridLines="0" workbookViewId="0">
      <selection activeCell="M19" sqref="M19"/>
    </sheetView>
  </sheetViews>
  <sheetFormatPr baseColWidth="10" defaultRowHeight="16"/>
  <cols>
    <col min="1" max="1" width="21" bestFit="1" customWidth="1"/>
    <col min="2" max="10" width="14.33203125" customWidth="1"/>
    <col min="11" max="11" width="20.33203125" customWidth="1"/>
    <col min="12" max="12" width="21" bestFit="1" customWidth="1"/>
    <col min="13" max="21" width="14.33203125" customWidth="1"/>
  </cols>
  <sheetData>
    <row r="1" spans="1:24" ht="21">
      <c r="A1" s="74" t="str">
        <f>"Steuerübersicht: Gewinne aus Stillhalterprämien ("&amp;'CFMO- Trading Log'!$I$5&amp;")"</f>
        <v>Steuerübersicht: Gewinne aus Stillhalterprämien (EUR)</v>
      </c>
      <c r="L1" s="74" t="str">
        <f>"Steuerübersicht: Gewinne aus Aktiengeschäften ("&amp;'CFMO- Trading Log'!$I$5&amp;")"</f>
        <v>Steuerübersicht: Gewinne aus Aktiengeschäften (EUR)</v>
      </c>
    </row>
    <row r="3" spans="1:24">
      <c r="A3" s="71" t="s">
        <v>2</v>
      </c>
      <c r="B3" t="s">
        <v>7</v>
      </c>
      <c r="L3" s="71" t="s">
        <v>2</v>
      </c>
      <c r="M3" t="s">
        <v>7</v>
      </c>
    </row>
    <row r="5" spans="1:24">
      <c r="B5" s="71" t="s">
        <v>33</v>
      </c>
      <c r="M5" s="71" t="s">
        <v>33</v>
      </c>
    </row>
    <row r="6" spans="1:24" s="80" customFormat="1">
      <c r="A6"/>
      <c r="B6" s="73" t="s">
        <v>13</v>
      </c>
      <c r="C6" s="73"/>
      <c r="D6" s="79" t="s">
        <v>12</v>
      </c>
      <c r="E6" s="79"/>
      <c r="F6" s="73" t="s">
        <v>74</v>
      </c>
      <c r="G6" s="73" t="s">
        <v>76</v>
      </c>
      <c r="H6"/>
      <c r="I6"/>
      <c r="J6"/>
      <c r="L6"/>
      <c r="M6" s="73" t="s">
        <v>3</v>
      </c>
      <c r="N6" s="73"/>
      <c r="O6"/>
    </row>
    <row r="7" spans="1:24" s="80" customFormat="1" ht="17">
      <c r="A7" s="71" t="s">
        <v>31</v>
      </c>
      <c r="B7" s="73" t="s">
        <v>75</v>
      </c>
      <c r="C7" s="73" t="s">
        <v>77</v>
      </c>
      <c r="D7" s="73" t="s">
        <v>75</v>
      </c>
      <c r="E7" s="73" t="s">
        <v>77</v>
      </c>
      <c r="F7" s="73"/>
      <c r="G7" s="73"/>
      <c r="H7"/>
      <c r="I7"/>
      <c r="J7"/>
      <c r="L7" s="71" t="s">
        <v>31</v>
      </c>
      <c r="M7" s="81" t="s">
        <v>75</v>
      </c>
      <c r="N7" s="81" t="s">
        <v>77</v>
      </c>
      <c r="O7"/>
      <c r="P7"/>
      <c r="Q7"/>
      <c r="R7"/>
      <c r="S7"/>
      <c r="T7"/>
      <c r="U7"/>
      <c r="V7"/>
      <c r="W7"/>
      <c r="X7"/>
    </row>
    <row r="8" spans="1:24">
      <c r="A8" s="72">
        <v>10</v>
      </c>
      <c r="B8" s="75"/>
      <c r="C8" s="75">
        <v>0</v>
      </c>
      <c r="D8" s="75"/>
      <c r="E8" s="75">
        <v>0</v>
      </c>
      <c r="F8" s="75"/>
      <c r="G8" s="75">
        <v>0</v>
      </c>
      <c r="L8" s="72">
        <v>10</v>
      </c>
      <c r="M8" s="75"/>
      <c r="N8" s="75">
        <v>0</v>
      </c>
    </row>
    <row r="9" spans="1:24">
      <c r="A9" s="78" t="s">
        <v>9</v>
      </c>
      <c r="B9" s="75"/>
      <c r="C9" s="75"/>
      <c r="D9" s="75"/>
      <c r="E9" s="75">
        <v>0</v>
      </c>
      <c r="F9" s="75"/>
      <c r="G9" s="75">
        <v>0</v>
      </c>
      <c r="L9" s="78" t="s">
        <v>143</v>
      </c>
      <c r="M9" s="75"/>
      <c r="N9" s="75">
        <v>0</v>
      </c>
    </row>
    <row r="10" spans="1:24">
      <c r="A10" s="78" t="s">
        <v>10</v>
      </c>
      <c r="B10" s="75"/>
      <c r="C10" s="75"/>
      <c r="D10" s="75"/>
      <c r="E10" s="75">
        <v>0</v>
      </c>
      <c r="F10" s="75"/>
      <c r="G10" s="75">
        <v>0</v>
      </c>
      <c r="L10" s="72" t="s">
        <v>32</v>
      </c>
      <c r="M10" s="75"/>
      <c r="N10" s="75">
        <v>0</v>
      </c>
    </row>
    <row r="11" spans="1:24">
      <c r="A11" s="78" t="s">
        <v>8</v>
      </c>
      <c r="B11" s="75"/>
      <c r="C11" s="75">
        <v>0</v>
      </c>
      <c r="D11" s="75"/>
      <c r="E11" s="75">
        <v>0</v>
      </c>
      <c r="F11" s="75"/>
      <c r="G11" s="75">
        <v>0</v>
      </c>
    </row>
    <row r="12" spans="1:24">
      <c r="A12" s="78" t="s">
        <v>143</v>
      </c>
      <c r="B12" s="75"/>
      <c r="C12" s="75">
        <v>0</v>
      </c>
      <c r="D12" s="75"/>
      <c r="E12" s="75">
        <v>0</v>
      </c>
      <c r="F12" s="75"/>
      <c r="G12" s="75">
        <v>0</v>
      </c>
    </row>
    <row r="13" spans="1:24">
      <c r="A13" s="78" t="s">
        <v>142</v>
      </c>
      <c r="B13" s="75"/>
      <c r="C13" s="75"/>
      <c r="D13" s="75"/>
      <c r="E13" s="75">
        <v>0</v>
      </c>
      <c r="F13" s="75"/>
      <c r="G13" s="75">
        <v>0</v>
      </c>
    </row>
    <row r="14" spans="1:24">
      <c r="A14" s="72">
        <v>11</v>
      </c>
      <c r="B14" s="75"/>
      <c r="C14" s="75"/>
      <c r="D14" s="75"/>
      <c r="E14" s="75">
        <v>0</v>
      </c>
      <c r="F14" s="75"/>
      <c r="G14" s="75">
        <v>0</v>
      </c>
    </row>
    <row r="15" spans="1:24">
      <c r="A15" s="78" t="s">
        <v>45</v>
      </c>
      <c r="B15" s="75"/>
      <c r="C15" s="75"/>
      <c r="D15" s="75"/>
      <c r="E15" s="75">
        <v>0</v>
      </c>
      <c r="F15" s="75"/>
      <c r="G15" s="75">
        <v>0</v>
      </c>
    </row>
    <row r="16" spans="1:24">
      <c r="A16" s="72" t="s">
        <v>32</v>
      </c>
      <c r="B16" s="75"/>
      <c r="C16" s="75">
        <v>0</v>
      </c>
      <c r="D16" s="75"/>
      <c r="E16" s="75">
        <v>0</v>
      </c>
      <c r="F16" s="75"/>
      <c r="G16" s="75">
        <v>0</v>
      </c>
    </row>
  </sheetData>
  <pageMargins left="0.70866141732283472" right="0.70866141732283472" top="0.78740157480314965" bottom="0.78740157480314965" header="0.31496062992125984" footer="0.31496062992125984"/>
  <pageSetup paperSize="9" scale="7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9521-A979-4748-9C64-8BF493AED918}">
  <sheetPr>
    <tabColor theme="0"/>
  </sheetPr>
  <dimension ref="B3:C6"/>
  <sheetViews>
    <sheetView showGridLines="0" workbookViewId="0">
      <selection activeCell="G29" sqref="G29"/>
    </sheetView>
  </sheetViews>
  <sheetFormatPr baseColWidth="10" defaultRowHeight="16"/>
  <sheetData>
    <row r="3" spans="2:3">
      <c r="B3" s="11" t="s">
        <v>1</v>
      </c>
      <c r="C3" s="11" t="s">
        <v>105</v>
      </c>
    </row>
    <row r="4" spans="2:3">
      <c r="B4" t="s">
        <v>12</v>
      </c>
      <c r="C4" t="s">
        <v>19</v>
      </c>
    </row>
    <row r="5" spans="2:3">
      <c r="B5" t="s">
        <v>13</v>
      </c>
      <c r="C5" t="s">
        <v>18</v>
      </c>
    </row>
    <row r="6" spans="2:3">
      <c r="B6" t="s">
        <v>3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9</vt:i4>
      </vt:variant>
    </vt:vector>
  </HeadingPairs>
  <TitlesOfParts>
    <vt:vector size="17" baseType="lpstr">
      <vt:lpstr>CFMO- Anleitung</vt:lpstr>
      <vt:lpstr>CFMO- Trading Log</vt:lpstr>
      <vt:lpstr>Berichte &gt;&gt;</vt:lpstr>
      <vt:lpstr>1) Aktueller Kapitaleinsatz</vt:lpstr>
      <vt:lpstr>2) Realisierter G&amp;V Pro Aktie</vt:lpstr>
      <vt:lpstr>3) Realisierter G&amp;V Pro Monat</vt:lpstr>
      <vt:lpstr>4) Steuerübersicht</vt:lpstr>
      <vt:lpstr>Listen</vt:lpstr>
      <vt:lpstr>'1) Aktueller Kapitaleinsatz'!Druckbereich</vt:lpstr>
      <vt:lpstr>'2) Realisierter G&amp;V Pro Aktie'!Druckbereich</vt:lpstr>
      <vt:lpstr>'3) Realisierter G&amp;V Pro Monat'!Druckbereich</vt:lpstr>
      <vt:lpstr>'4) Steuerübersicht'!Druckbereich</vt:lpstr>
      <vt:lpstr>'Berichte &gt;&gt;'!Druckbereich</vt:lpstr>
      <vt:lpstr>'CFMO- Anleitung'!Druckbereich</vt:lpstr>
      <vt:lpstr>'CFMO- Trading Log'!Druckbereich</vt:lpstr>
      <vt:lpstr>L_JANEIN</vt:lpstr>
      <vt:lpstr>L_PAPIER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2021-10-19T19:21:06Z</dcterms:created>
  <dcterms:modified xsi:type="dcterms:W3CDTF">2022-01-23T19:19:32Z</dcterms:modified>
</cp:coreProperties>
</file>